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ADU\RADU SERV\primarii\sinaia\CREDIT 2024\HCL IMPRUMUT\"/>
    </mc:Choice>
  </mc:AlternateContent>
  <xr:revisionPtr revIDLastSave="0" documentId="8_{27FEFC06-6319-4DA7-AE6F-FE32B5E66D51}" xr6:coauthVersionLast="47" xr6:coauthVersionMax="47" xr10:uidLastSave="{00000000-0000-0000-0000-000000000000}"/>
  <bookViews>
    <workbookView xWindow="-108" yWindow="-108" windowWidth="23256" windowHeight="12456" firstSheet="9" activeTab="14" xr2:uid="{00000000-000D-0000-FFFF-FFFF00000000}"/>
  </bookViews>
  <sheets>
    <sheet name="situatie credite" sheetId="29" r:id="rId1"/>
    <sheet name="1.BCR ref 2.2 mil. ron" sheetId="32" r:id="rId2"/>
    <sheet name="2.brd 3 mio euro" sheetId="15" r:id="rId3"/>
    <sheet name="3.samtid 553.967,97 EURO" sheetId="16" r:id="rId4"/>
    <sheet name="4.garantie bancpost" sheetId="22" r:id="rId5"/>
    <sheet name="5.credit refinan cec 10.5mil" sheetId="30" r:id="rId6"/>
    <sheet name="6.bcr 11 mil" sheetId="33" r:id="rId7"/>
    <sheet name="7.CREDIT UNICREDIT" sheetId="35" r:id="rId8"/>
    <sheet name="8.garantie BT 20 MIO RON" sheetId="36" r:id="rId9"/>
    <sheet name="9. GARANTIE RAIFF" sheetId="40" r:id="rId10"/>
    <sheet name="10. CREDIT NOU" sheetId="39" r:id="rId11"/>
    <sheet name="centralizator" sheetId="18" r:id="rId12"/>
    <sheet name="grad indatorare" sheetId="1" r:id="rId13"/>
    <sheet name="1.3" sheetId="28" r:id="rId14"/>
    <sheet name="1.4" sheetId="21" r:id="rId15"/>
    <sheet name="Sheet2" sheetId="38" r:id="rId16"/>
    <sheet name="SD sinaia" sheetId="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____amg2">#N/A</definedName>
    <definedName name="______amg3">#N/A</definedName>
    <definedName name="_____amg2">#N/A</definedName>
    <definedName name="_____amg3">#N/A</definedName>
    <definedName name="____amg2">#N/A</definedName>
    <definedName name="____amg3">#N/A</definedName>
    <definedName name="___amg2">#N/A</definedName>
    <definedName name="___amg3">#N/A</definedName>
    <definedName name="__amg2">#N/A</definedName>
    <definedName name="__amg3">#N/A</definedName>
    <definedName name="_amg2">#N/A</definedName>
    <definedName name="_amg3">#N/A</definedName>
    <definedName name="_ftn1" localSheetId="13">'1.3'!#REF!</definedName>
    <definedName name="_ftn1" localSheetId="12">'grad indatorare'!#REF!</definedName>
    <definedName name="_ftnref1" localSheetId="13">'1.3'!#REF!</definedName>
    <definedName name="_ftnref1" localSheetId="12">'grad indatorare'!#REF!</definedName>
    <definedName name="a">#N/A</definedName>
    <definedName name="a_10">#N/A</definedName>
    <definedName name="a_11">#N/A</definedName>
    <definedName name="a_12">#N/A</definedName>
    <definedName name="a_14">#N/A</definedName>
    <definedName name="a_15">#N/A</definedName>
    <definedName name="a_16">#N/A</definedName>
    <definedName name="a_17">#N/A</definedName>
    <definedName name="a_2">#N/A</definedName>
    <definedName name="a_3">#N/A</definedName>
    <definedName name="a_4">#N/A</definedName>
    <definedName name="a_5">#N/A</definedName>
    <definedName name="a_6">#N/A</definedName>
    <definedName name="a_7">#N/A</definedName>
    <definedName name="a_8">#N/A</definedName>
    <definedName name="a_9">#N/A</definedName>
    <definedName name="aaa" localSheetId="13" hidden="1">{#N/A,#N/A,FALSE,"Fund-II"}</definedName>
    <definedName name="aaa" localSheetId="14" hidden="1">{#N/A,#N/A,FALSE,"Fund-II"}</definedName>
    <definedName name="aaa" localSheetId="1" hidden="1">{#N/A,#N/A,FALSE,"Fund-II"}</definedName>
    <definedName name="aaa" localSheetId="10" hidden="1">{#N/A,#N/A,FALSE,"Fund-II"}</definedName>
    <definedName name="aaa" localSheetId="2" hidden="1">{#N/A,#N/A,FALSE,"Fund-II"}</definedName>
    <definedName name="aaa" localSheetId="3" hidden="1">{#N/A,#N/A,FALSE,"Fund-II"}</definedName>
    <definedName name="aaa" localSheetId="4" hidden="1">{#N/A,#N/A,FALSE,"Fund-II"}</definedName>
    <definedName name="aaa" localSheetId="5" hidden="1">{#N/A,#N/A,FALSE,"Fund-II"}</definedName>
    <definedName name="aaa" localSheetId="6" hidden="1">{#N/A,#N/A,FALSE,"Fund-II"}</definedName>
    <definedName name="aaa" localSheetId="7" hidden="1">{#N/A,#N/A,FALSE,"Fund-II"}</definedName>
    <definedName name="aaa" localSheetId="9" hidden="1">{#N/A,#N/A,FALSE,"Fund-II"}</definedName>
    <definedName name="aaa" hidden="1">{#N/A,#N/A,FALSE,"Fund-II"}</definedName>
    <definedName name="AllTables">#N/A</definedName>
    <definedName name="AllTables_10">#N/A</definedName>
    <definedName name="AllTables_11">#N/A</definedName>
    <definedName name="AllTables_12">#N/A</definedName>
    <definedName name="AllTables_14">#N/A</definedName>
    <definedName name="AllTables_15">#N/A</definedName>
    <definedName name="AllTables_16">#N/A</definedName>
    <definedName name="AllTables_17">#N/A</definedName>
    <definedName name="AllTables_2">#N/A</definedName>
    <definedName name="AllTables_3">#N/A</definedName>
    <definedName name="AllTables_4">#N/A</definedName>
    <definedName name="AllTables_5">#N/A</definedName>
    <definedName name="AllTables_6">#N/A</definedName>
    <definedName name="AllTables_7">#N/A</definedName>
    <definedName name="AllTables_8">#N/A</definedName>
    <definedName name="AllTables_9">#N/A</definedName>
    <definedName name="amg">#N/A</definedName>
    <definedName name="amg_10">#N/A</definedName>
    <definedName name="amg_11">#N/A</definedName>
    <definedName name="amg_12">#N/A</definedName>
    <definedName name="amg_14">#N/A</definedName>
    <definedName name="amg_15">#N/A</definedName>
    <definedName name="amg_16">#N/A</definedName>
    <definedName name="amg_17">#N/A</definedName>
    <definedName name="amg_2">#N/A</definedName>
    <definedName name="amg_3">#N/A</definedName>
    <definedName name="amg_4">#N/A</definedName>
    <definedName name="amg_5">#N/A</definedName>
    <definedName name="amg_6">#N/A</definedName>
    <definedName name="amg_7">#N/A</definedName>
    <definedName name="amg_8">#N/A</definedName>
    <definedName name="amg_9">#N/A</definedName>
    <definedName name="amg2_10">#N/A</definedName>
    <definedName name="amg2_11">#N/A</definedName>
    <definedName name="amg2_12">#N/A</definedName>
    <definedName name="amg2_14">#N/A</definedName>
    <definedName name="amg2_15">#N/A</definedName>
    <definedName name="amg2_16">#N/A</definedName>
    <definedName name="amg2_17">#N/A</definedName>
    <definedName name="amg2_2">#N/A</definedName>
    <definedName name="amg2_3">#N/A</definedName>
    <definedName name="amg2_4">#N/A</definedName>
    <definedName name="amg2_5">#N/A</definedName>
    <definedName name="amg2_6">#N/A</definedName>
    <definedName name="amg2_7">#N/A</definedName>
    <definedName name="amg2_8">#N/A</definedName>
    <definedName name="amg2_9">#N/A</definedName>
    <definedName name="amg3_10">#N/A</definedName>
    <definedName name="amg3_11">#N/A</definedName>
    <definedName name="amg3_12">#N/A</definedName>
    <definedName name="amg3_14">#N/A</definedName>
    <definedName name="amg3_15">#N/A</definedName>
    <definedName name="amg3_16">#N/A</definedName>
    <definedName name="amg3_17">#N/A</definedName>
    <definedName name="amg3_2">#N/A</definedName>
    <definedName name="amg3_3">#N/A</definedName>
    <definedName name="amg3_4">#N/A</definedName>
    <definedName name="amg3_5">#N/A</definedName>
    <definedName name="amg3_6">#N/A</definedName>
    <definedName name="amg3_7">#N/A</definedName>
    <definedName name="amg3_8">#N/A</definedName>
    <definedName name="amg3_9">#N/A</definedName>
    <definedName name="as" localSheetId="13">#REF!</definedName>
    <definedName name="as" localSheetId="14">#REF!</definedName>
    <definedName name="as" localSheetId="1">#REF!</definedName>
    <definedName name="as" localSheetId="10">#REF!</definedName>
    <definedName name="as" localSheetId="2">#REF!</definedName>
    <definedName name="as" localSheetId="3">#REF!</definedName>
    <definedName name="as" localSheetId="4">#REF!</definedName>
    <definedName name="as" localSheetId="5">#REF!</definedName>
    <definedName name="as" localSheetId="6">#REF!</definedName>
    <definedName name="as" localSheetId="7">#REF!</definedName>
    <definedName name="as" localSheetId="9">#REF!</definedName>
    <definedName name="as">#REF!</definedName>
    <definedName name="asd" localSheetId="13">#REF!</definedName>
    <definedName name="asd" localSheetId="14">#REF!</definedName>
    <definedName name="asd" localSheetId="1">#REF!</definedName>
    <definedName name="asd" localSheetId="10">#REF!</definedName>
    <definedName name="asd" localSheetId="2">#REF!</definedName>
    <definedName name="asd" localSheetId="3">#REF!</definedName>
    <definedName name="asd" localSheetId="4">#REF!</definedName>
    <definedName name="asd" localSheetId="5">#REF!</definedName>
    <definedName name="asd" localSheetId="6">#REF!</definedName>
    <definedName name="asd" localSheetId="7">#REF!</definedName>
    <definedName name="asd" localSheetId="9">#REF!</definedName>
    <definedName name="asd">#REF!</definedName>
    <definedName name="asdasd" localSheetId="13">#REF!</definedName>
    <definedName name="asdasd" localSheetId="14">#REF!</definedName>
    <definedName name="asdasd" localSheetId="1">#REF!</definedName>
    <definedName name="asdasd" localSheetId="10">#REF!</definedName>
    <definedName name="asdasd" localSheetId="2">#REF!</definedName>
    <definedName name="asdasd" localSheetId="3">#REF!</definedName>
    <definedName name="asdasd" localSheetId="4">#REF!</definedName>
    <definedName name="asdasd" localSheetId="5">#REF!</definedName>
    <definedName name="asdasd" localSheetId="6">#REF!</definedName>
    <definedName name="asdasd" localSheetId="7">#REF!</definedName>
    <definedName name="asdasd" localSheetId="9">#REF!</definedName>
    <definedName name="asdasd">#REF!</definedName>
    <definedName name="b">#N/A</definedName>
    <definedName name="b_10">#N/A</definedName>
    <definedName name="b_11">#N/A</definedName>
    <definedName name="b_12">#N/A</definedName>
    <definedName name="b_14">#N/A</definedName>
    <definedName name="b_15">#N/A</definedName>
    <definedName name="b_16">#N/A</definedName>
    <definedName name="b_17">#N/A</definedName>
    <definedName name="b_2">#N/A</definedName>
    <definedName name="b_3">#N/A</definedName>
    <definedName name="b_4">#N/A</definedName>
    <definedName name="b_5">#N/A</definedName>
    <definedName name="b_6">#N/A</definedName>
    <definedName name="b_7">#N/A</definedName>
    <definedName name="b_8">#N/A</definedName>
    <definedName name="b_9">#N/A</definedName>
    <definedName name="bbb" localSheetId="13" hidden="1">{#N/A,#N/A,FALSE,"Fund-II"}</definedName>
    <definedName name="bbb" localSheetId="14" hidden="1">{#N/A,#N/A,FALSE,"Fund-II"}</definedName>
    <definedName name="bbb" localSheetId="1" hidden="1">{#N/A,#N/A,FALSE,"Fund-II"}</definedName>
    <definedName name="bbb" localSheetId="10" hidden="1">{#N/A,#N/A,FALSE,"Fund-II"}</definedName>
    <definedName name="bbb" localSheetId="2" hidden="1">{#N/A,#N/A,FALSE,"Fund-II"}</definedName>
    <definedName name="bbb" localSheetId="3" hidden="1">{#N/A,#N/A,FALSE,"Fund-II"}</definedName>
    <definedName name="bbb" localSheetId="4" hidden="1">{#N/A,#N/A,FALSE,"Fund-II"}</definedName>
    <definedName name="bbb" localSheetId="5" hidden="1">{#N/A,#N/A,FALSE,"Fund-II"}</definedName>
    <definedName name="bbb" localSheetId="6" hidden="1">{#N/A,#N/A,FALSE,"Fund-II"}</definedName>
    <definedName name="bbb" localSheetId="7" hidden="1">{#N/A,#N/A,FALSE,"Fund-II"}</definedName>
    <definedName name="bbb" localSheetId="9" hidden="1">{#N/A,#N/A,FALSE,"Fund-II"}</definedName>
    <definedName name="bbb" hidden="1">{#N/A,#N/A,FALSE,"Fund-II"}</definedName>
    <definedName name="BMS_Tot_Cost" localSheetId="13">#REF!</definedName>
    <definedName name="BMS_Tot_Cost" localSheetId="14">#REF!</definedName>
    <definedName name="BMS_Tot_Cost" localSheetId="1">#REF!</definedName>
    <definedName name="BMS_Tot_Cost" localSheetId="10">#REF!</definedName>
    <definedName name="BMS_Tot_Cost" localSheetId="2">#REF!</definedName>
    <definedName name="BMS_Tot_Cost" localSheetId="3">#REF!</definedName>
    <definedName name="BMS_Tot_Cost" localSheetId="4">#REF!</definedName>
    <definedName name="BMS_Tot_Cost" localSheetId="5">#REF!</definedName>
    <definedName name="BMS_Tot_Cost" localSheetId="6">#REF!</definedName>
    <definedName name="BMS_Tot_Cost" localSheetId="7">#REF!</definedName>
    <definedName name="BMS_Tot_Cost" localSheetId="9">#REF!</definedName>
    <definedName name="BMS_Tot_Cost" localSheetId="12">#REF!</definedName>
    <definedName name="BMS_Tot_Cost">#REF!</definedName>
    <definedName name="bvb" localSheetId="13">#REF!</definedName>
    <definedName name="bvb" localSheetId="14">#REF!</definedName>
    <definedName name="bvb" localSheetId="1">#REF!</definedName>
    <definedName name="bvb" localSheetId="10">#REF!</definedName>
    <definedName name="bvb" localSheetId="2">#REF!</definedName>
    <definedName name="bvb" localSheetId="3">#REF!</definedName>
    <definedName name="bvb" localSheetId="4">#REF!</definedName>
    <definedName name="bvb" localSheetId="5">#REF!</definedName>
    <definedName name="bvb" localSheetId="6">#REF!</definedName>
    <definedName name="bvb" localSheetId="7">#REF!</definedName>
    <definedName name="bvb" localSheetId="9">#REF!</definedName>
    <definedName name="bvb">#REF!</definedName>
    <definedName name="Capital_Expenditures___Culture___Sports" localSheetId="13">'[1]Module 6_Condensed Budget'!#REF!</definedName>
    <definedName name="Capital_Expenditures___Culture___Sports" localSheetId="14">'[1]Module 6_Condensed Budget'!#REF!</definedName>
    <definedName name="Capital_Expenditures___Culture___Sports" localSheetId="1">'[2]Module 6_Condensed Budget'!#REF!</definedName>
    <definedName name="Capital_Expenditures___Culture___Sports" localSheetId="10">'[1]Module 6_Condensed Budget'!#REF!</definedName>
    <definedName name="Capital_Expenditures___Culture___Sports" localSheetId="2">'[1]Module 6_Condensed Budget'!#REF!</definedName>
    <definedName name="Capital_Expenditures___Culture___Sports" localSheetId="3">'[1]Module 6_Condensed Budget'!#REF!</definedName>
    <definedName name="Capital_Expenditures___Culture___Sports" localSheetId="4">'[1]Module 6_Condensed Budget'!#REF!</definedName>
    <definedName name="Capital_Expenditures___Culture___Sports" localSheetId="5">'[1]Module 6_Condensed Budget'!#REF!</definedName>
    <definedName name="Capital_Expenditures___Culture___Sports" localSheetId="6">'[2]Module 6_Condensed Budget'!#REF!</definedName>
    <definedName name="Capital_Expenditures___Culture___Sports" localSheetId="7">'[1]Module 6_Condensed Budget'!#REF!</definedName>
    <definedName name="Capital_Expenditures___Culture___Sports" localSheetId="9">'[1]Module 6_Condensed Budget'!#REF!</definedName>
    <definedName name="Capital_Expenditures___Culture___Sports" localSheetId="12">'[2]Module 6_Condensed Budget'!#REF!</definedName>
    <definedName name="Capital_Expenditures___Culture___Sports">'[2]Module 6_Condensed Budget'!#REF!</definedName>
    <definedName name="Capital_Expenditures___Education" localSheetId="13">'[1]Module 6_Condensed Budget'!#REF!</definedName>
    <definedName name="Capital_Expenditures___Education" localSheetId="14">'[1]Module 6_Condensed Budget'!#REF!</definedName>
    <definedName name="Capital_Expenditures___Education" localSheetId="1">'[2]Module 6_Condensed Budget'!#REF!</definedName>
    <definedName name="Capital_Expenditures___Education" localSheetId="10">'[1]Module 6_Condensed Budget'!#REF!</definedName>
    <definedName name="Capital_Expenditures___Education" localSheetId="2">'[1]Module 6_Condensed Budget'!#REF!</definedName>
    <definedName name="Capital_Expenditures___Education" localSheetId="3">'[1]Module 6_Condensed Budget'!#REF!</definedName>
    <definedName name="Capital_Expenditures___Education" localSheetId="4">'[1]Module 6_Condensed Budget'!#REF!</definedName>
    <definedName name="Capital_Expenditures___Education" localSheetId="5">'[1]Module 6_Condensed Budget'!#REF!</definedName>
    <definedName name="Capital_Expenditures___Education" localSheetId="6">'[2]Module 6_Condensed Budget'!#REF!</definedName>
    <definedName name="Capital_Expenditures___Education" localSheetId="7">'[1]Module 6_Condensed Budget'!#REF!</definedName>
    <definedName name="Capital_Expenditures___Education" localSheetId="9">'[1]Module 6_Condensed Budget'!#REF!</definedName>
    <definedName name="Capital_Expenditures___Education" localSheetId="12">'[2]Module 6_Condensed Budget'!#REF!</definedName>
    <definedName name="Capital_Expenditures___Education">'[2]Module 6_Condensed Budget'!#REF!</definedName>
    <definedName name="Capital_Expenditures___General_Administration" localSheetId="13">'[1]Module 6_Condensed Budget'!#REF!</definedName>
    <definedName name="Capital_Expenditures___General_Administration" localSheetId="14">'[1]Module 6_Condensed Budget'!#REF!</definedName>
    <definedName name="Capital_Expenditures___General_Administration" localSheetId="1">'[2]Module 6_Condensed Budget'!#REF!</definedName>
    <definedName name="Capital_Expenditures___General_Administration" localSheetId="10">'[1]Module 6_Condensed Budget'!#REF!</definedName>
    <definedName name="Capital_Expenditures___General_Administration" localSheetId="2">'[1]Module 6_Condensed Budget'!#REF!</definedName>
    <definedName name="Capital_Expenditures___General_Administration" localSheetId="3">'[1]Module 6_Condensed Budget'!#REF!</definedName>
    <definedName name="Capital_Expenditures___General_Administration" localSheetId="4">'[1]Module 6_Condensed Budget'!#REF!</definedName>
    <definedName name="Capital_Expenditures___General_Administration" localSheetId="5">'[1]Module 6_Condensed Budget'!#REF!</definedName>
    <definedName name="Capital_Expenditures___General_Administration" localSheetId="6">'[2]Module 6_Condensed Budget'!#REF!</definedName>
    <definedName name="Capital_Expenditures___General_Administration" localSheetId="7">'[1]Module 6_Condensed Budget'!#REF!</definedName>
    <definedName name="Capital_Expenditures___General_Administration" localSheetId="9">'[1]Module 6_Condensed Budget'!#REF!</definedName>
    <definedName name="Capital_Expenditures___General_Administration" localSheetId="12">'[2]Module 6_Condensed Budget'!#REF!</definedName>
    <definedName name="Capital_Expenditures___General_Administration">'[2]Module 6_Condensed Budget'!#REF!</definedName>
    <definedName name="Capital_Expenditures___Health" localSheetId="13">'[1]Module 6_Condensed Budget'!#REF!</definedName>
    <definedName name="Capital_Expenditures___Health" localSheetId="14">'[1]Module 6_Condensed Budget'!#REF!</definedName>
    <definedName name="Capital_Expenditures___Health" localSheetId="1">'[2]Module 6_Condensed Budget'!#REF!</definedName>
    <definedName name="Capital_Expenditures___Health" localSheetId="10">'[1]Module 6_Condensed Budget'!#REF!</definedName>
    <definedName name="Capital_Expenditures___Health" localSheetId="2">'[1]Module 6_Condensed Budget'!#REF!</definedName>
    <definedName name="Capital_Expenditures___Health" localSheetId="3">'[1]Module 6_Condensed Budget'!#REF!</definedName>
    <definedName name="Capital_Expenditures___Health" localSheetId="4">'[1]Module 6_Condensed Budget'!#REF!</definedName>
    <definedName name="Capital_Expenditures___Health" localSheetId="5">'[1]Module 6_Condensed Budget'!#REF!</definedName>
    <definedName name="Capital_Expenditures___Health" localSheetId="6">'[2]Module 6_Condensed Budget'!#REF!</definedName>
    <definedName name="Capital_Expenditures___Health" localSheetId="7">'[1]Module 6_Condensed Budget'!#REF!</definedName>
    <definedName name="Capital_Expenditures___Health" localSheetId="9">'[1]Module 6_Condensed Budget'!#REF!</definedName>
    <definedName name="Capital_Expenditures___Health" localSheetId="12">'[2]Module 6_Condensed Budget'!#REF!</definedName>
    <definedName name="Capital_Expenditures___Health">'[2]Module 6_Condensed Budget'!#REF!</definedName>
    <definedName name="Capital_Expenditures___Other_Activities" localSheetId="13">'[1]Module 6_Condensed Budget'!#REF!</definedName>
    <definedName name="Capital_Expenditures___Other_Activities" localSheetId="14">'[1]Module 6_Condensed Budget'!#REF!</definedName>
    <definedName name="Capital_Expenditures___Other_Activities" localSheetId="1">'[2]Module 6_Condensed Budget'!#REF!</definedName>
    <definedName name="Capital_Expenditures___Other_Activities" localSheetId="10">'[1]Module 6_Condensed Budget'!#REF!</definedName>
    <definedName name="Capital_Expenditures___Other_Activities" localSheetId="2">'[1]Module 6_Condensed Budget'!#REF!</definedName>
    <definedName name="Capital_Expenditures___Other_Activities" localSheetId="3">'[1]Module 6_Condensed Budget'!#REF!</definedName>
    <definedName name="Capital_Expenditures___Other_Activities" localSheetId="4">'[1]Module 6_Condensed Budget'!#REF!</definedName>
    <definedName name="Capital_Expenditures___Other_Activities" localSheetId="5">'[1]Module 6_Condensed Budget'!#REF!</definedName>
    <definedName name="Capital_Expenditures___Other_Activities" localSheetId="6">'[2]Module 6_Condensed Budget'!#REF!</definedName>
    <definedName name="Capital_Expenditures___Other_Activities" localSheetId="7">'[1]Module 6_Condensed Budget'!#REF!</definedName>
    <definedName name="Capital_Expenditures___Other_Activities" localSheetId="9">'[1]Module 6_Condensed Budget'!#REF!</definedName>
    <definedName name="Capital_Expenditures___Other_Activities" localSheetId="12">'[2]Module 6_Condensed Budget'!#REF!</definedName>
    <definedName name="Capital_Expenditures___Other_Activities">'[2]Module 6_Condensed Budget'!#REF!</definedName>
    <definedName name="Capital_Expenditures___Public_Works___Housing" localSheetId="13">'[1]Module 6_Condensed Budget'!#REF!</definedName>
    <definedName name="Capital_Expenditures___Public_Works___Housing" localSheetId="14">'[1]Module 6_Condensed Budget'!#REF!</definedName>
    <definedName name="Capital_Expenditures___Public_Works___Housing" localSheetId="1">'[2]Module 6_Condensed Budget'!#REF!</definedName>
    <definedName name="Capital_Expenditures___Public_Works___Housing" localSheetId="10">'[1]Module 6_Condensed Budget'!#REF!</definedName>
    <definedName name="Capital_Expenditures___Public_Works___Housing" localSheetId="2">'[1]Module 6_Condensed Budget'!#REF!</definedName>
    <definedName name="Capital_Expenditures___Public_Works___Housing" localSheetId="3">'[1]Module 6_Condensed Budget'!#REF!</definedName>
    <definedName name="Capital_Expenditures___Public_Works___Housing" localSheetId="4">'[1]Module 6_Condensed Budget'!#REF!</definedName>
    <definedName name="Capital_Expenditures___Public_Works___Housing" localSheetId="5">'[1]Module 6_Condensed Budget'!#REF!</definedName>
    <definedName name="Capital_Expenditures___Public_Works___Housing" localSheetId="6">'[2]Module 6_Condensed Budget'!#REF!</definedName>
    <definedName name="Capital_Expenditures___Public_Works___Housing" localSheetId="7">'[1]Module 6_Condensed Budget'!#REF!</definedName>
    <definedName name="Capital_Expenditures___Public_Works___Housing" localSheetId="9">'[1]Module 6_Condensed Budget'!#REF!</definedName>
    <definedName name="Capital_Expenditures___Public_Works___Housing" localSheetId="12">'[2]Module 6_Condensed Budget'!#REF!</definedName>
    <definedName name="Capital_Expenditures___Public_Works___Housing">'[2]Module 6_Condensed Budget'!#REF!</definedName>
    <definedName name="Capital_Expenditures___Social_Assistance" localSheetId="13">'[1]Module 6_Condensed Budget'!#REF!</definedName>
    <definedName name="Capital_Expenditures___Social_Assistance" localSheetId="14">'[1]Module 6_Condensed Budget'!#REF!</definedName>
    <definedName name="Capital_Expenditures___Social_Assistance" localSheetId="1">'[2]Module 6_Condensed Budget'!#REF!</definedName>
    <definedName name="Capital_Expenditures___Social_Assistance" localSheetId="10">'[1]Module 6_Condensed Budget'!#REF!</definedName>
    <definedName name="Capital_Expenditures___Social_Assistance" localSheetId="2">'[1]Module 6_Condensed Budget'!#REF!</definedName>
    <definedName name="Capital_Expenditures___Social_Assistance" localSheetId="3">'[1]Module 6_Condensed Budget'!#REF!</definedName>
    <definedName name="Capital_Expenditures___Social_Assistance" localSheetId="4">'[1]Module 6_Condensed Budget'!#REF!</definedName>
    <definedName name="Capital_Expenditures___Social_Assistance" localSheetId="5">'[1]Module 6_Condensed Budget'!#REF!</definedName>
    <definedName name="Capital_Expenditures___Social_Assistance" localSheetId="6">'[2]Module 6_Condensed Budget'!#REF!</definedName>
    <definedName name="Capital_Expenditures___Social_Assistance" localSheetId="7">'[1]Module 6_Condensed Budget'!#REF!</definedName>
    <definedName name="Capital_Expenditures___Social_Assistance" localSheetId="9">'[1]Module 6_Condensed Budget'!#REF!</definedName>
    <definedName name="Capital_Expenditures___Social_Assistance" localSheetId="12">'[2]Module 6_Condensed Budget'!#REF!</definedName>
    <definedName name="Capital_Expenditures___Social_Assistance">'[2]Module 6_Condensed Budget'!#REF!</definedName>
    <definedName name="Capital_Expenditures___Transportation___Communication" localSheetId="13">'[1]Module 6_Condensed Budget'!#REF!</definedName>
    <definedName name="Capital_Expenditures___Transportation___Communication" localSheetId="14">'[1]Module 6_Condensed Budget'!#REF!</definedName>
    <definedName name="Capital_Expenditures___Transportation___Communication" localSheetId="1">'[2]Module 6_Condensed Budget'!#REF!</definedName>
    <definedName name="Capital_Expenditures___Transportation___Communication" localSheetId="10">'[1]Module 6_Condensed Budget'!#REF!</definedName>
    <definedName name="Capital_Expenditures___Transportation___Communication" localSheetId="2">'[1]Module 6_Condensed Budget'!#REF!</definedName>
    <definedName name="Capital_Expenditures___Transportation___Communication" localSheetId="3">'[1]Module 6_Condensed Budget'!#REF!</definedName>
    <definedName name="Capital_Expenditures___Transportation___Communication" localSheetId="4">'[1]Module 6_Condensed Budget'!#REF!</definedName>
    <definedName name="Capital_Expenditures___Transportation___Communication" localSheetId="5">'[1]Module 6_Condensed Budget'!#REF!</definedName>
    <definedName name="Capital_Expenditures___Transportation___Communication" localSheetId="6">'[2]Module 6_Condensed Budget'!#REF!</definedName>
    <definedName name="Capital_Expenditures___Transportation___Communication" localSheetId="7">'[1]Module 6_Condensed Budget'!#REF!</definedName>
    <definedName name="Capital_Expenditures___Transportation___Communication" localSheetId="9">'[1]Module 6_Condensed Budget'!#REF!</definedName>
    <definedName name="Capital_Expenditures___Transportation___Communication" localSheetId="12">'[2]Module 6_Condensed Budget'!#REF!</definedName>
    <definedName name="Capital_Expenditures___Transportation___Communication">'[2]Module 6_Condensed Budget'!#REF!</definedName>
    <definedName name="Capital_Expenditures__Other_Economic_Activities" localSheetId="13">'[1]Module 6_Condensed Budget'!#REF!</definedName>
    <definedName name="Capital_Expenditures__Other_Economic_Activities" localSheetId="14">'[1]Module 6_Condensed Budget'!#REF!</definedName>
    <definedName name="Capital_Expenditures__Other_Economic_Activities" localSheetId="1">'[2]Module 6_Condensed Budget'!#REF!</definedName>
    <definedName name="Capital_Expenditures__Other_Economic_Activities" localSheetId="10">'[1]Module 6_Condensed Budget'!#REF!</definedName>
    <definedName name="Capital_Expenditures__Other_Economic_Activities" localSheetId="2">'[1]Module 6_Condensed Budget'!#REF!</definedName>
    <definedName name="Capital_Expenditures__Other_Economic_Activities" localSheetId="3">'[1]Module 6_Condensed Budget'!#REF!</definedName>
    <definedName name="Capital_Expenditures__Other_Economic_Activities" localSheetId="4">'[1]Module 6_Condensed Budget'!#REF!</definedName>
    <definedName name="Capital_Expenditures__Other_Economic_Activities" localSheetId="5">'[1]Module 6_Condensed Budget'!#REF!</definedName>
    <definedName name="Capital_Expenditures__Other_Economic_Activities" localSheetId="6">'[2]Module 6_Condensed Budget'!#REF!</definedName>
    <definedName name="Capital_Expenditures__Other_Economic_Activities" localSheetId="7">'[1]Module 6_Condensed Budget'!#REF!</definedName>
    <definedName name="Capital_Expenditures__Other_Economic_Activities" localSheetId="9">'[1]Module 6_Condensed Budget'!#REF!</definedName>
    <definedName name="Capital_Expenditures__Other_Economic_Activities" localSheetId="12">'[2]Module 6_Condensed Budget'!#REF!</definedName>
    <definedName name="Capital_Expenditures__Other_Economic_Activities">'[2]Module 6_Condensed Budget'!#REF!</definedName>
    <definedName name="caragiale" localSheetId="13">#REF!</definedName>
    <definedName name="caragiale" localSheetId="1">#REF!</definedName>
    <definedName name="caragiale" localSheetId="10">#REF!</definedName>
    <definedName name="caragiale" localSheetId="4">#REF!</definedName>
    <definedName name="caragiale" localSheetId="5">#REF!</definedName>
    <definedName name="caragiale" localSheetId="6">#REF!</definedName>
    <definedName name="caragiale" localSheetId="7">#REF!</definedName>
    <definedName name="caragiale" localSheetId="9">#REF!</definedName>
    <definedName name="caragiale">#REF!</definedName>
    <definedName name="Change_in_Operating_Expenditures" localSheetId="13">'[1]Module 6_Condensed Budget'!#REF!</definedName>
    <definedName name="Change_in_Operating_Expenditures" localSheetId="14">'[1]Module 6_Condensed Budget'!#REF!</definedName>
    <definedName name="Change_in_Operating_Expenditures" localSheetId="1">'[2]Module 6_Condensed Budget'!#REF!</definedName>
    <definedName name="Change_in_Operating_Expenditures" localSheetId="10">'[1]Module 6_Condensed Budget'!#REF!</definedName>
    <definedName name="Change_in_Operating_Expenditures" localSheetId="2">'[1]Module 6_Condensed Budget'!#REF!</definedName>
    <definedName name="Change_in_Operating_Expenditures" localSheetId="3">'[1]Module 6_Condensed Budget'!#REF!</definedName>
    <definedName name="Change_in_Operating_Expenditures" localSheetId="4">'[1]Module 6_Condensed Budget'!#REF!</definedName>
    <definedName name="Change_in_Operating_Expenditures" localSheetId="5">'[1]Module 6_Condensed Budget'!#REF!</definedName>
    <definedName name="Change_in_Operating_Expenditures" localSheetId="6">'[2]Module 6_Condensed Budget'!#REF!</definedName>
    <definedName name="Change_in_Operating_Expenditures" localSheetId="7">'[1]Module 6_Condensed Budget'!#REF!</definedName>
    <definedName name="Change_in_Operating_Expenditures" localSheetId="9">'[1]Module 6_Condensed Budget'!#REF!</definedName>
    <definedName name="Change_in_Operating_Expenditures" localSheetId="12">'[2]Module 6_Condensed Budget'!#REF!</definedName>
    <definedName name="Change_in_Operating_Expenditures">'[2]Module 6_Condensed Budget'!#REF!</definedName>
    <definedName name="CO_II" localSheetId="13">#REF!</definedName>
    <definedName name="CO_II" localSheetId="14">#REF!</definedName>
    <definedName name="CO_II" localSheetId="1">#REF!</definedName>
    <definedName name="CO_II" localSheetId="10">#REF!</definedName>
    <definedName name="CO_II" localSheetId="2">#REF!</definedName>
    <definedName name="CO_II" localSheetId="3">#REF!</definedName>
    <definedName name="CO_II" localSheetId="4">#REF!</definedName>
    <definedName name="CO_II" localSheetId="5">#REF!</definedName>
    <definedName name="CO_II" localSheetId="6">#REF!</definedName>
    <definedName name="CO_II" localSheetId="7">#REF!</definedName>
    <definedName name="CO_II" localSheetId="9">#REF!</definedName>
    <definedName name="CO_II" localSheetId="12">#REF!</definedName>
    <definedName name="CO_II">#REF!</definedName>
    <definedName name="COIV" localSheetId="13">#REF!</definedName>
    <definedName name="COIV" localSheetId="14">#REF!</definedName>
    <definedName name="COIV" localSheetId="1">#REF!</definedName>
    <definedName name="COIV" localSheetId="10">#REF!</definedName>
    <definedName name="COIV" localSheetId="2">#REF!</definedName>
    <definedName name="COIV" localSheetId="3">#REF!</definedName>
    <definedName name="COIV" localSheetId="4">#REF!</definedName>
    <definedName name="COIV" localSheetId="5">#REF!</definedName>
    <definedName name="COIV" localSheetId="6">#REF!</definedName>
    <definedName name="COIV" localSheetId="7">#REF!</definedName>
    <definedName name="COIV" localSheetId="9">#REF!</definedName>
    <definedName name="COIV" localSheetId="12">#REF!</definedName>
    <definedName name="COIV">#REF!</definedName>
    <definedName name="COV" localSheetId="13">#REF!</definedName>
    <definedName name="COV" localSheetId="14">#REF!</definedName>
    <definedName name="COV" localSheetId="1">#REF!</definedName>
    <definedName name="COV" localSheetId="10">#REF!</definedName>
    <definedName name="COV" localSheetId="2">#REF!</definedName>
    <definedName name="COV" localSheetId="3">#REF!</definedName>
    <definedName name="COV" localSheetId="4">#REF!</definedName>
    <definedName name="COV" localSheetId="5">#REF!</definedName>
    <definedName name="COV" localSheetId="6">#REF!</definedName>
    <definedName name="COV" localSheetId="7">#REF!</definedName>
    <definedName name="COV" localSheetId="9">#REF!</definedName>
    <definedName name="COV" localSheetId="12">#REF!</definedName>
    <definedName name="COV">#REF!</definedName>
    <definedName name="credit" localSheetId="13" hidden="1">{"'Lennar U.S. Partners'!$A$1:$N$53"}</definedName>
    <definedName name="credit" localSheetId="14" hidden="1">{"'Lennar U.S. Partners'!$A$1:$N$53"}</definedName>
    <definedName name="credit" localSheetId="1" hidden="1">{"'Lennar U.S. Partners'!$A$1:$N$53"}</definedName>
    <definedName name="credit" localSheetId="10" hidden="1">{"'Lennar U.S. Partners'!$A$1:$N$53"}</definedName>
    <definedName name="credit" localSheetId="5" hidden="1">{"'Lennar U.S. Partners'!$A$1:$N$53"}</definedName>
    <definedName name="credit" localSheetId="6" hidden="1">{"'Lennar U.S. Partners'!$A$1:$N$53"}</definedName>
    <definedName name="credit" localSheetId="7" hidden="1">{"'Lennar U.S. Partners'!$A$1:$N$53"}</definedName>
    <definedName name="credit" localSheetId="9" hidden="1">{"'Lennar U.S. Partners'!$A$1:$N$53"}</definedName>
    <definedName name="credit" hidden="1">{"'Lennar U.S. Partners'!$A$1:$N$53"}</definedName>
    <definedName name="d">[3]Portfolio!$F$15</definedName>
    <definedName name="_xlnm.Database" localSheetId="13">#REF!</definedName>
    <definedName name="_xlnm.Database" localSheetId="14">#REF!</definedName>
    <definedName name="_xlnm.Database" localSheetId="1">#REF!</definedName>
    <definedName name="_xlnm.Database" localSheetId="10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9">#REF!</definedName>
    <definedName name="_xlnm.Database" localSheetId="12">#REF!</definedName>
    <definedName name="_xlnm.Database">#REF!</definedName>
    <definedName name="Deflator__Base_Year___1995" localSheetId="13">'[1]Module 6_Condensed Budget'!#REF!</definedName>
    <definedName name="Deflator__Base_Year___1995" localSheetId="14">'[1]Module 6_Condensed Budget'!#REF!</definedName>
    <definedName name="Deflator__Base_Year___1995" localSheetId="1">'[2]Module 6_Condensed Budget'!#REF!</definedName>
    <definedName name="Deflator__Base_Year___1995" localSheetId="10">'[1]Module 6_Condensed Budget'!#REF!</definedName>
    <definedName name="Deflator__Base_Year___1995" localSheetId="2">'[1]Module 6_Condensed Budget'!#REF!</definedName>
    <definedName name="Deflator__Base_Year___1995" localSheetId="3">'[1]Module 6_Condensed Budget'!#REF!</definedName>
    <definedName name="Deflator__Base_Year___1995" localSheetId="4">'[1]Module 6_Condensed Budget'!#REF!</definedName>
    <definedName name="Deflator__Base_Year___1995" localSheetId="5">'[1]Module 6_Condensed Budget'!#REF!</definedName>
    <definedName name="Deflator__Base_Year___1995" localSheetId="6">'[2]Module 6_Condensed Budget'!#REF!</definedName>
    <definedName name="Deflator__Base_Year___1995" localSheetId="7">'[1]Module 6_Condensed Budget'!#REF!</definedName>
    <definedName name="Deflator__Base_Year___1995" localSheetId="9">'[1]Module 6_Condensed Budget'!#REF!</definedName>
    <definedName name="Deflator__Base_Year___1995" localSheetId="12">'[2]Module 6_Condensed Budget'!#REF!</definedName>
    <definedName name="Deflator__Base_Year___1995">'[2]Module 6_Condensed Budget'!#REF!</definedName>
    <definedName name="Deflator__Base_Year___1997" localSheetId="13">'[1]Module 6_Condensed Budget'!#REF!</definedName>
    <definedName name="Deflator__Base_Year___1997" localSheetId="14">'[1]Module 6_Condensed Budget'!#REF!</definedName>
    <definedName name="Deflator__Base_Year___1997" localSheetId="1">'[2]Module 6_Condensed Budget'!#REF!</definedName>
    <definedName name="Deflator__Base_Year___1997" localSheetId="10">'[1]Module 6_Condensed Budget'!#REF!</definedName>
    <definedName name="Deflator__Base_Year___1997" localSheetId="2">'[1]Module 6_Condensed Budget'!#REF!</definedName>
    <definedName name="Deflator__Base_Year___1997" localSheetId="3">'[1]Module 6_Condensed Budget'!#REF!</definedName>
    <definedName name="Deflator__Base_Year___1997" localSheetId="4">'[1]Module 6_Condensed Budget'!#REF!</definedName>
    <definedName name="Deflator__Base_Year___1997" localSheetId="5">'[1]Module 6_Condensed Budget'!#REF!</definedName>
    <definedName name="Deflator__Base_Year___1997" localSheetId="6">'[2]Module 6_Condensed Budget'!#REF!</definedName>
    <definedName name="Deflator__Base_Year___1997" localSheetId="7">'[1]Module 6_Condensed Budget'!#REF!</definedName>
    <definedName name="Deflator__Base_Year___1997" localSheetId="9">'[1]Module 6_Condensed Budget'!#REF!</definedName>
    <definedName name="Deflator__Base_Year___1997" localSheetId="12">'[2]Module 6_Condensed Budget'!#REF!</definedName>
    <definedName name="Deflator__Base_Year___1997">'[2]Module 6_Condensed Budget'!#REF!</definedName>
    <definedName name="dff" localSheetId="13">#REF!</definedName>
    <definedName name="dff" localSheetId="14">#REF!</definedName>
    <definedName name="dff" localSheetId="1">#REF!</definedName>
    <definedName name="dff" localSheetId="10">#REF!</definedName>
    <definedName name="dff" localSheetId="2">#REF!</definedName>
    <definedName name="dff" localSheetId="3">#REF!</definedName>
    <definedName name="dff" localSheetId="4">#REF!</definedName>
    <definedName name="dff" localSheetId="5">#REF!</definedName>
    <definedName name="dff" localSheetId="6">#REF!</definedName>
    <definedName name="dff" localSheetId="7">#REF!</definedName>
    <definedName name="dff" localSheetId="9">#REF!</definedName>
    <definedName name="dff">#REF!</definedName>
    <definedName name="DisplaySelectedSheetsMacroButton" localSheetId="13">#REF!</definedName>
    <definedName name="DisplaySelectedSheetsMacroButton" localSheetId="14">#REF!</definedName>
    <definedName name="DisplaySelectedSheetsMacroButton" localSheetId="1">#REF!</definedName>
    <definedName name="DisplaySelectedSheetsMacroButton" localSheetId="10">#REF!</definedName>
    <definedName name="DisplaySelectedSheetsMacroButton" localSheetId="2">#REF!</definedName>
    <definedName name="DisplaySelectedSheetsMacroButton" localSheetId="3">#REF!</definedName>
    <definedName name="DisplaySelectedSheetsMacroButton" localSheetId="4">#REF!</definedName>
    <definedName name="DisplaySelectedSheetsMacroButton" localSheetId="5">#REF!</definedName>
    <definedName name="DisplaySelectedSheetsMacroButton" localSheetId="6">#REF!</definedName>
    <definedName name="DisplaySelectedSheetsMacroButton" localSheetId="7">#REF!</definedName>
    <definedName name="DisplaySelectedSheetsMacroButton" localSheetId="9">#REF!</definedName>
    <definedName name="DisplaySelectedSheetsMacroButton" localSheetId="12">#REF!</definedName>
    <definedName name="DisplaySelectedSheetsMacroButton">#REF!</definedName>
    <definedName name="dsa" localSheetId="13" hidden="1">{#N/A,#N/A,FALSE,"Fund-II"}</definedName>
    <definedName name="dsa" localSheetId="14" hidden="1">{#N/A,#N/A,FALSE,"Fund-II"}</definedName>
    <definedName name="dsa" localSheetId="1">#REF!</definedName>
    <definedName name="dsa" localSheetId="10" hidden="1">{#N/A,#N/A,FALSE,"Fund-II"}</definedName>
    <definedName name="dsa" localSheetId="2">#REF!</definedName>
    <definedName name="dsa" localSheetId="3">#REF!</definedName>
    <definedName name="dsa" localSheetId="4">#REF!</definedName>
    <definedName name="dsa" localSheetId="5" hidden="1">{#N/A,#N/A,FALSE,"Fund-II"}</definedName>
    <definedName name="dsa" localSheetId="6">#REF!</definedName>
    <definedName name="dsa" localSheetId="7" hidden="1">{#N/A,#N/A,FALSE,"Fund-II"}</definedName>
    <definedName name="dsa" localSheetId="9" hidden="1">{#N/A,#N/A,FALSE,"Fund-II"}</definedName>
    <definedName name="dsa">#REF!</definedName>
    <definedName name="eq" localSheetId="13">#REF!</definedName>
    <definedName name="eq" localSheetId="14">#REF!</definedName>
    <definedName name="eq" localSheetId="1">#REF!</definedName>
    <definedName name="eq" localSheetId="10">#REF!</definedName>
    <definedName name="eq" localSheetId="2">#REF!</definedName>
    <definedName name="eq" localSheetId="3">#REF!</definedName>
    <definedName name="eq" localSheetId="4">#REF!</definedName>
    <definedName name="eq" localSheetId="5">#REF!</definedName>
    <definedName name="eq" localSheetId="6">#REF!</definedName>
    <definedName name="eq" localSheetId="7">#REF!</definedName>
    <definedName name="eq" localSheetId="9">#REF!</definedName>
    <definedName name="eq">#REF!</definedName>
    <definedName name="er">#N/A</definedName>
    <definedName name="er_10">#N/A</definedName>
    <definedName name="er_11">#N/A</definedName>
    <definedName name="er_12">#N/A</definedName>
    <definedName name="er_14">#N/A</definedName>
    <definedName name="er_15">#N/A</definedName>
    <definedName name="er_16">#N/A</definedName>
    <definedName name="er_17">#N/A</definedName>
    <definedName name="er_2">#N/A</definedName>
    <definedName name="er_3">#N/A</definedName>
    <definedName name="er_4">#N/A</definedName>
    <definedName name="er_5">#N/A</definedName>
    <definedName name="er_6">#N/A</definedName>
    <definedName name="er_7">#N/A</definedName>
    <definedName name="er_8">#N/A</definedName>
    <definedName name="er_9">#N/A</definedName>
    <definedName name="ew" localSheetId="13">#REF!</definedName>
    <definedName name="ew" localSheetId="14">#REF!</definedName>
    <definedName name="ew" localSheetId="1">#REF!</definedName>
    <definedName name="ew" localSheetId="10">#REF!</definedName>
    <definedName name="ew" localSheetId="2">#REF!</definedName>
    <definedName name="ew" localSheetId="3">#REF!</definedName>
    <definedName name="ew" localSheetId="4">#REF!</definedName>
    <definedName name="ew" localSheetId="5">#REF!</definedName>
    <definedName name="ew" localSheetId="6">#REF!</definedName>
    <definedName name="ew" localSheetId="7">#REF!</definedName>
    <definedName name="ew" localSheetId="9">#REF!</definedName>
    <definedName name="ew">#REF!</definedName>
    <definedName name="ewq" localSheetId="13">#REF!</definedName>
    <definedName name="ewq" localSheetId="14">#REF!</definedName>
    <definedName name="ewq" localSheetId="1">#REF!</definedName>
    <definedName name="ewq" localSheetId="10">#REF!</definedName>
    <definedName name="ewq" localSheetId="2">#REF!</definedName>
    <definedName name="ewq" localSheetId="3">#REF!</definedName>
    <definedName name="ewq" localSheetId="4">#REF!</definedName>
    <definedName name="ewq" localSheetId="5">#REF!</definedName>
    <definedName name="ewq" localSheetId="6">#REF!</definedName>
    <definedName name="ewq" localSheetId="7">#REF!</definedName>
    <definedName name="ewq" localSheetId="9">#REF!</definedName>
    <definedName name="ewq">#REF!</definedName>
    <definedName name="Excel_BuiltIn__FilterDatabase_13" localSheetId="13">#REF!</definedName>
    <definedName name="Excel_BuiltIn__FilterDatabase_13" localSheetId="14">#REF!</definedName>
    <definedName name="Excel_BuiltIn__FilterDatabase_13" localSheetId="1">#REF!</definedName>
    <definedName name="Excel_BuiltIn__FilterDatabase_13" localSheetId="10">#REF!</definedName>
    <definedName name="Excel_BuiltIn__FilterDatabase_13" localSheetId="2">#REF!</definedName>
    <definedName name="Excel_BuiltIn__FilterDatabase_13" localSheetId="3">#REF!</definedName>
    <definedName name="Excel_BuiltIn__FilterDatabase_13" localSheetId="4">#REF!</definedName>
    <definedName name="Excel_BuiltIn__FilterDatabase_13" localSheetId="5">#REF!</definedName>
    <definedName name="Excel_BuiltIn__FilterDatabase_13" localSheetId="6">#REF!</definedName>
    <definedName name="Excel_BuiltIn__FilterDatabase_13" localSheetId="7">#REF!</definedName>
    <definedName name="Excel_BuiltIn__FilterDatabase_13" localSheetId="9">#REF!</definedName>
    <definedName name="Excel_BuiltIn__FilterDatabase_13" localSheetId="12">#REF!</definedName>
    <definedName name="Excel_BuiltIn__FilterDatabase_13">#REF!</definedName>
    <definedName name="Excel_BuiltIn__FilterDatabase_17" localSheetId="13">'[4]Evolutie V_C 2003_2007 '!#REF!</definedName>
    <definedName name="Excel_BuiltIn__FilterDatabase_17" localSheetId="14">'[4]Evolutie V_C 2003_2007 '!#REF!</definedName>
    <definedName name="Excel_BuiltIn__FilterDatabase_17" localSheetId="1">'[5]Evolutie V_C 2003_2007 '!#REF!</definedName>
    <definedName name="Excel_BuiltIn__FilterDatabase_17" localSheetId="10">'[4]Evolutie V_C 2003_2007 '!#REF!</definedName>
    <definedName name="Excel_BuiltIn__FilterDatabase_17" localSheetId="2">'[4]Evolutie V_C 2003_2007 '!#REF!</definedName>
    <definedName name="Excel_BuiltIn__FilterDatabase_17" localSheetId="3">'[4]Evolutie V_C 2003_2007 '!#REF!</definedName>
    <definedName name="Excel_BuiltIn__FilterDatabase_17" localSheetId="4">'[4]Evolutie V_C 2003_2007 '!#REF!</definedName>
    <definedName name="Excel_BuiltIn__FilterDatabase_17" localSheetId="5">'[4]Evolutie V_C 2003_2007 '!#REF!</definedName>
    <definedName name="Excel_BuiltIn__FilterDatabase_17" localSheetId="6">'[5]Evolutie V_C 2003_2007 '!#REF!</definedName>
    <definedName name="Excel_BuiltIn__FilterDatabase_17" localSheetId="7">'[4]Evolutie V_C 2003_2007 '!#REF!</definedName>
    <definedName name="Excel_BuiltIn__FilterDatabase_17" localSheetId="9">'[4]Evolutie V_C 2003_2007 '!#REF!</definedName>
    <definedName name="Excel_BuiltIn__FilterDatabase_17" localSheetId="12">'[5]Evolutie V_C 2003_2007 '!#REF!</definedName>
    <definedName name="Excel_BuiltIn__FilterDatabase_17">'[5]Evolutie V_C 2003_2007 '!#REF!</definedName>
    <definedName name="Excel_BuiltIn_Database" localSheetId="13">#REF!</definedName>
    <definedName name="Excel_BuiltIn_Database" localSheetId="14">#REF!</definedName>
    <definedName name="Excel_BuiltIn_Database" localSheetId="1">#REF!</definedName>
    <definedName name="Excel_BuiltIn_Database" localSheetId="10">#REF!</definedName>
    <definedName name="Excel_BuiltIn_Database" localSheetId="2">#REF!</definedName>
    <definedName name="Excel_BuiltIn_Database" localSheetId="3">#REF!</definedName>
    <definedName name="Excel_BuiltIn_Database" localSheetId="4">#REF!</definedName>
    <definedName name="Excel_BuiltIn_Database" localSheetId="5">#REF!</definedName>
    <definedName name="Excel_BuiltIn_Database" localSheetId="6">#REF!</definedName>
    <definedName name="Excel_BuiltIn_Database" localSheetId="7">#REF!</definedName>
    <definedName name="Excel_BuiltIn_Database" localSheetId="9">#REF!</definedName>
    <definedName name="Excel_BuiltIn_Database" localSheetId="12">#REF!</definedName>
    <definedName name="Excel_BuiltIn_Database">#REF!</definedName>
    <definedName name="Extra" localSheetId="10">[6]ExtraScoli!$B$150</definedName>
    <definedName name="Extra" localSheetId="5">[6]ExtraScoli!$B$150</definedName>
    <definedName name="Extra" localSheetId="7">[6]ExtraScoli!$B$150</definedName>
    <definedName name="Extra" localSheetId="9">[6]ExtraScoli!$B$150</definedName>
    <definedName name="Extra">[6]ExtraScoli!$B$150</definedName>
    <definedName name="fds" localSheetId="13">#REF!</definedName>
    <definedName name="fds" localSheetId="14">#REF!</definedName>
    <definedName name="fds" localSheetId="1">#REF!</definedName>
    <definedName name="fds" localSheetId="10">#REF!</definedName>
    <definedName name="fds" localSheetId="2">#REF!</definedName>
    <definedName name="fds" localSheetId="3">#REF!</definedName>
    <definedName name="fds" localSheetId="4">#REF!</definedName>
    <definedName name="fds" localSheetId="5">#REF!</definedName>
    <definedName name="fds" localSheetId="6">#REF!</definedName>
    <definedName name="fds" localSheetId="7">#REF!</definedName>
    <definedName name="fds" localSheetId="9">#REF!</definedName>
    <definedName name="fds">#REF!</definedName>
    <definedName name="Ferrovial" localSheetId="13" hidden="1">{"'Lennar U.S. Partners'!$A$1:$N$53"}</definedName>
    <definedName name="Ferrovial" localSheetId="14" hidden="1">{"'Lennar U.S. Partners'!$A$1:$N$53"}</definedName>
    <definedName name="Ferrovial" localSheetId="1" hidden="1">{"'Lennar U.S. Partners'!$A$1:$N$53"}</definedName>
    <definedName name="Ferrovial" localSheetId="10" hidden="1">{"'Lennar U.S. Partners'!$A$1:$N$53"}</definedName>
    <definedName name="Ferrovial" localSheetId="2" hidden="1">{"'Lennar U.S. Partners'!$A$1:$N$53"}</definedName>
    <definedName name="Ferrovial" localSheetId="3" hidden="1">{"'Lennar U.S. Partners'!$A$1:$N$53"}</definedName>
    <definedName name="Ferrovial" localSheetId="4" hidden="1">{"'Lennar U.S. Partners'!$A$1:$N$53"}</definedName>
    <definedName name="Ferrovial" localSheetId="5" hidden="1">{"'Lennar U.S. Partners'!$A$1:$N$53"}</definedName>
    <definedName name="Ferrovial" localSheetId="6" hidden="1">{"'Lennar U.S. Partners'!$A$1:$N$53"}</definedName>
    <definedName name="Ferrovial" localSheetId="7" hidden="1">{"'Lennar U.S. Partners'!$A$1:$N$53"}</definedName>
    <definedName name="Ferrovial" localSheetId="9" hidden="1">{"'Lennar U.S. Partners'!$A$1:$N$53"}</definedName>
    <definedName name="Ferrovial" hidden="1">{"'Lennar U.S. Partners'!$A$1:$N$53"}</definedName>
    <definedName name="FUND1" localSheetId="13">#REF!</definedName>
    <definedName name="FUND1" localSheetId="14">#REF!</definedName>
    <definedName name="FUND1" localSheetId="1">#REF!</definedName>
    <definedName name="FUND1" localSheetId="10">#REF!</definedName>
    <definedName name="FUND1" localSheetId="2">#REF!</definedName>
    <definedName name="FUND1" localSheetId="3">#REF!</definedName>
    <definedName name="FUND1" localSheetId="4">#REF!</definedName>
    <definedName name="FUND1" localSheetId="5">#REF!</definedName>
    <definedName name="FUND1" localSheetId="6">#REF!</definedName>
    <definedName name="FUND1" localSheetId="7">#REF!</definedName>
    <definedName name="FUND1" localSheetId="9">#REF!</definedName>
    <definedName name="FUND1" localSheetId="12">#REF!</definedName>
    <definedName name="FUND1">#REF!</definedName>
    <definedName name="FUND2" localSheetId="13">#REF!</definedName>
    <definedName name="FUND2" localSheetId="14">#REF!</definedName>
    <definedName name="FUND2" localSheetId="1">#REF!</definedName>
    <definedName name="FUND2" localSheetId="10">#REF!</definedName>
    <definedName name="FUND2" localSheetId="2">#REF!</definedName>
    <definedName name="FUND2" localSheetId="3">#REF!</definedName>
    <definedName name="FUND2" localSheetId="4">#REF!</definedName>
    <definedName name="FUND2" localSheetId="5">#REF!</definedName>
    <definedName name="FUND2" localSheetId="6">#REF!</definedName>
    <definedName name="FUND2" localSheetId="7">#REF!</definedName>
    <definedName name="FUND2" localSheetId="9">#REF!</definedName>
    <definedName name="FUND2" localSheetId="12">#REF!</definedName>
    <definedName name="FUND2">#REF!</definedName>
    <definedName name="GEMS" localSheetId="13" hidden="1">{"'Lennar U.S. Partners'!$A$1:$N$53"}</definedName>
    <definedName name="GEMS" localSheetId="14" hidden="1">{"'Lennar U.S. Partners'!$A$1:$N$53"}</definedName>
    <definedName name="GEMS" localSheetId="1" hidden="1">{"'Lennar U.S. Partners'!$A$1:$N$53"}</definedName>
    <definedName name="GEMS" localSheetId="10" hidden="1">{"'Lennar U.S. Partners'!$A$1:$N$53"}</definedName>
    <definedName name="GEMS" localSheetId="2" hidden="1">{"'Lennar U.S. Partners'!$A$1:$N$53"}</definedName>
    <definedName name="GEMS" localSheetId="3" hidden="1">{"'Lennar U.S. Partners'!$A$1:$N$53"}</definedName>
    <definedName name="GEMS" localSheetId="4" hidden="1">{"'Lennar U.S. Partners'!$A$1:$N$53"}</definedName>
    <definedName name="GEMS" localSheetId="5" hidden="1">{"'Lennar U.S. Partners'!$A$1:$N$53"}</definedName>
    <definedName name="GEMS" localSheetId="6" hidden="1">{"'Lennar U.S. Partners'!$A$1:$N$53"}</definedName>
    <definedName name="GEMS" localSheetId="7" hidden="1">{"'Lennar U.S. Partners'!$A$1:$N$53"}</definedName>
    <definedName name="GEMS" localSheetId="9" hidden="1">{"'Lennar U.S. Partners'!$A$1:$N$53"}</definedName>
    <definedName name="GEMS" hidden="1">{"'Lennar U.S. Partners'!$A$1:$N$53"}</definedName>
    <definedName name="ggg" localSheetId="13" hidden="1">{"'Lennar U.S. Partners'!$A$1:$N$53"}</definedName>
    <definedName name="ggg" localSheetId="1" hidden="1">{"'Lennar U.S. Partners'!$A$1:$N$53"}</definedName>
    <definedName name="ggg" localSheetId="10" hidden="1">{"'Lennar U.S. Partners'!$A$1:$N$53"}</definedName>
    <definedName name="ggg" localSheetId="5" hidden="1">{"'Lennar U.S. Partners'!$A$1:$N$53"}</definedName>
    <definedName name="ggg" localSheetId="6" hidden="1">{"'Lennar U.S. Partners'!$A$1:$N$53"}</definedName>
    <definedName name="ggg" localSheetId="7" hidden="1">{"'Lennar U.S. Partners'!$A$1:$N$53"}</definedName>
    <definedName name="ggg" localSheetId="9" hidden="1">{"'Lennar U.S. Partners'!$A$1:$N$53"}</definedName>
    <definedName name="ggg" hidden="1">{"'Lennar U.S. Partners'!$A$1:$N$53"}</definedName>
    <definedName name="gr_203" localSheetId="13">#REF!</definedName>
    <definedName name="gr_203" localSheetId="1">#REF!</definedName>
    <definedName name="gr_203" localSheetId="10">#REF!</definedName>
    <definedName name="gr_203" localSheetId="4">#REF!</definedName>
    <definedName name="gr_203" localSheetId="5">#REF!</definedName>
    <definedName name="gr_203" localSheetId="6">#REF!</definedName>
    <definedName name="gr_203" localSheetId="7">#REF!</definedName>
    <definedName name="gr_203" localSheetId="9">#REF!</definedName>
    <definedName name="gr_203">#REF!</definedName>
    <definedName name="hannuri">#N/A</definedName>
    <definedName name="hannuri_10">#N/A</definedName>
    <definedName name="hannuri_11">#N/A</definedName>
    <definedName name="hannuri_12">#N/A</definedName>
    <definedName name="hannuri_14">#N/A</definedName>
    <definedName name="hannuri_15">#N/A</definedName>
    <definedName name="hannuri_16">#N/A</definedName>
    <definedName name="hannuri_17">#N/A</definedName>
    <definedName name="hannuri_2">#N/A</definedName>
    <definedName name="hannuri_3">#N/A</definedName>
    <definedName name="hannuri_4">#N/A</definedName>
    <definedName name="hannuri_5">#N/A</definedName>
    <definedName name="hannuri_6">#N/A</definedName>
    <definedName name="hannuri_7">#N/A</definedName>
    <definedName name="hannuri_8">#N/A</definedName>
    <definedName name="hannuri_9">#N/A</definedName>
    <definedName name="harnaj" localSheetId="13">#REF!</definedName>
    <definedName name="harnaj" localSheetId="1">#REF!</definedName>
    <definedName name="harnaj" localSheetId="10">#REF!</definedName>
    <definedName name="harnaj" localSheetId="4">#REF!</definedName>
    <definedName name="harnaj" localSheetId="5">#REF!</definedName>
    <definedName name="harnaj" localSheetId="6">#REF!</definedName>
    <definedName name="harnaj" localSheetId="7">#REF!</definedName>
    <definedName name="harnaj" localSheetId="9">#REF!</definedName>
    <definedName name="harnaj">#REF!</definedName>
    <definedName name="hipoacuzici" localSheetId="13">#REF!</definedName>
    <definedName name="hipoacuzici" localSheetId="1">#REF!</definedName>
    <definedName name="hipoacuzici" localSheetId="10">#REF!</definedName>
    <definedName name="hipoacuzici" localSheetId="4">#REF!</definedName>
    <definedName name="hipoacuzici" localSheetId="5">#REF!</definedName>
    <definedName name="hipoacuzici" localSheetId="6">#REF!</definedName>
    <definedName name="hipoacuzici" localSheetId="7">#REF!</definedName>
    <definedName name="hipoacuzici" localSheetId="9">#REF!</definedName>
    <definedName name="hipoacuzici">#REF!</definedName>
    <definedName name="HTML_CodePage" hidden="1">1252</definedName>
    <definedName name="HTML_Control" localSheetId="13" hidden="1">{"'Lennar U.S. Partners'!$A$1:$N$53"}</definedName>
    <definedName name="HTML_Control" localSheetId="14" hidden="1">{"'Lennar U.S. Partners'!$A$1:$N$53"}</definedName>
    <definedName name="HTML_Control" localSheetId="1" hidden="1">{"'Lennar U.S. Partners'!$A$1:$N$53"}</definedName>
    <definedName name="HTML_Control" localSheetId="10" hidden="1">{"'Lennar U.S. Partners'!$A$1:$N$53"}</definedName>
    <definedName name="HTML_Control" localSheetId="2" hidden="1">{"'Lennar U.S. Partners'!$A$1:$N$53"}</definedName>
    <definedName name="HTML_Control" localSheetId="3" hidden="1">{"'Lennar U.S. Partners'!$A$1:$N$53"}</definedName>
    <definedName name="HTML_Control" localSheetId="4" hidden="1">{"'Lennar U.S. Partners'!$A$1:$N$53"}</definedName>
    <definedName name="HTML_Control" localSheetId="5" hidden="1">{"'Lennar U.S. Partners'!$A$1:$N$53"}</definedName>
    <definedName name="HTML_Control" localSheetId="6" hidden="1">{"'Lennar U.S. Partners'!$A$1:$N$53"}</definedName>
    <definedName name="HTML_Control" localSheetId="7" hidden="1">{"'Lennar U.S. Partners'!$A$1:$N$53"}</definedName>
    <definedName name="HTML_Control" localSheetId="9" hidden="1">{"'Lennar U.S. Partners'!$A$1:$N$53"}</definedName>
    <definedName name="HTML_Control" hidden="1">{"'Lennar U.S. Partners'!$A$1:$N$53"}</definedName>
    <definedName name="HTML_Description" hidden="1">""</definedName>
    <definedName name="HTML_Email" hidden="1">""</definedName>
    <definedName name="HTML_Header" hidden="1">"Cover Page"</definedName>
    <definedName name="HTML_LastUpdate" hidden="1">"9/3/1999"</definedName>
    <definedName name="HTML_LineAfter" hidden="1">FALSE</definedName>
    <definedName name="HTML_LineBefore" hidden="1">FALSE</definedName>
    <definedName name="HTML_Name" hidden="1">"nymarkr"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"C:\Quaterly Reports\MyHTM2L.htm"</definedName>
    <definedName name="HTML_PathTemplate" hidden="1">"C:\Quaterly Reports\MyHTML.htm"</definedName>
    <definedName name="HTML_Title" hidden="1">"MSREF I - Second Quater 1999"</definedName>
    <definedName name="Intl">[7]Inputs!$A$118:$L$125</definedName>
    <definedName name="Intlfive">[7]Inputs!$A$192:$J$212</definedName>
    <definedName name="Intlfour">[7]Inputs!$A$170:$J$185</definedName>
    <definedName name="Intlseven">[7]Inputs!$A$258:$J$289</definedName>
    <definedName name="Intlsix">[7]Inputs!$A$219:$J$250</definedName>
    <definedName name="Intlthree">[7]Inputs!$A$151:$L$163</definedName>
    <definedName name="Intltwo">[7]Inputs!$A$132:$L$144</definedName>
    <definedName name="INVESTORS" localSheetId="13">#REF!</definedName>
    <definedName name="INVESTORS" localSheetId="14">#REF!</definedName>
    <definedName name="INVESTORS" localSheetId="1">#REF!</definedName>
    <definedName name="INVESTORS" localSheetId="10">#REF!</definedName>
    <definedName name="INVESTORS" localSheetId="2">#REF!</definedName>
    <definedName name="INVESTORS" localSheetId="3">#REF!</definedName>
    <definedName name="INVESTORS" localSheetId="4">#REF!</definedName>
    <definedName name="INVESTORS" localSheetId="5">#REF!</definedName>
    <definedName name="INVESTORS" localSheetId="6">#REF!</definedName>
    <definedName name="INVESTORS" localSheetId="7">#REF!</definedName>
    <definedName name="INVESTORS" localSheetId="9">#REF!</definedName>
    <definedName name="INVESTORS" localSheetId="12">#REF!</definedName>
    <definedName name="INVESTORS">#REF!</definedName>
    <definedName name="Investors_892_C" localSheetId="13">#REF!</definedName>
    <definedName name="Investors_892_C" localSheetId="14">#REF!</definedName>
    <definedName name="Investors_892_C" localSheetId="1">#REF!</definedName>
    <definedName name="Investors_892_C" localSheetId="10">#REF!</definedName>
    <definedName name="Investors_892_C" localSheetId="2">#REF!</definedName>
    <definedName name="Investors_892_C" localSheetId="3">#REF!</definedName>
    <definedName name="Investors_892_C" localSheetId="4">#REF!</definedName>
    <definedName name="Investors_892_C" localSheetId="5">#REF!</definedName>
    <definedName name="Investors_892_C" localSheetId="6">#REF!</definedName>
    <definedName name="Investors_892_C" localSheetId="7">#REF!</definedName>
    <definedName name="Investors_892_C" localSheetId="9">#REF!</definedName>
    <definedName name="Investors_892_C" localSheetId="12">#REF!</definedName>
    <definedName name="Investors_892_C">#REF!</definedName>
    <definedName name="ITDNETDIST.Actual.ITD" localSheetId="13">#REF!</definedName>
    <definedName name="ITDNETDIST.Actual.ITD" localSheetId="14">#REF!</definedName>
    <definedName name="ITDNETDIST.Actual.ITD" localSheetId="1">#REF!</definedName>
    <definedName name="ITDNETDIST.Actual.ITD" localSheetId="10">#REF!</definedName>
    <definedName name="ITDNETDIST.Actual.ITD" localSheetId="2">#REF!</definedName>
    <definedName name="ITDNETDIST.Actual.ITD" localSheetId="3">#REF!</definedName>
    <definedName name="ITDNETDIST.Actual.ITD" localSheetId="4">#REF!</definedName>
    <definedName name="ITDNETDIST.Actual.ITD" localSheetId="5">#REF!</definedName>
    <definedName name="ITDNETDIST.Actual.ITD" localSheetId="6">#REF!</definedName>
    <definedName name="ITDNETDIST.Actual.ITD" localSheetId="7">#REF!</definedName>
    <definedName name="ITDNETDIST.Actual.ITD" localSheetId="9">#REF!</definedName>
    <definedName name="ITDNETDIST.Actual.ITD" localSheetId="12">#REF!</definedName>
    <definedName name="ITDNETDIST.Actual.ITD">#REF!</definedName>
    <definedName name="KUWAIT" localSheetId="13">#REF!</definedName>
    <definedName name="KUWAIT" localSheetId="14">#REF!</definedName>
    <definedName name="KUWAIT" localSheetId="1">#REF!</definedName>
    <definedName name="KUWAIT" localSheetId="10">#REF!</definedName>
    <definedName name="KUWAIT" localSheetId="2">#REF!</definedName>
    <definedName name="KUWAIT" localSheetId="3">#REF!</definedName>
    <definedName name="KUWAIT" localSheetId="4">#REF!</definedName>
    <definedName name="KUWAIT" localSheetId="5">#REF!</definedName>
    <definedName name="KUWAIT" localSheetId="6">#REF!</definedName>
    <definedName name="KUWAIT" localSheetId="7">#REF!</definedName>
    <definedName name="KUWAIT" localSheetId="9">#REF!</definedName>
    <definedName name="KUWAIT" localSheetId="12">#REF!</definedName>
    <definedName name="KUWAIT">#REF!</definedName>
    <definedName name="ListSheetsMacroButton" localSheetId="13">#REF!</definedName>
    <definedName name="ListSheetsMacroButton" localSheetId="14">#REF!</definedName>
    <definedName name="ListSheetsMacroButton" localSheetId="1">#REF!</definedName>
    <definedName name="ListSheetsMacroButton" localSheetId="10">#REF!</definedName>
    <definedName name="ListSheetsMacroButton" localSheetId="2">#REF!</definedName>
    <definedName name="ListSheetsMacroButton" localSheetId="3">#REF!</definedName>
    <definedName name="ListSheetsMacroButton" localSheetId="4">#REF!</definedName>
    <definedName name="ListSheetsMacroButton" localSheetId="5">#REF!</definedName>
    <definedName name="ListSheetsMacroButton" localSheetId="6">#REF!</definedName>
    <definedName name="ListSheetsMacroButton" localSheetId="7">#REF!</definedName>
    <definedName name="ListSheetsMacroButton" localSheetId="9">#REF!</definedName>
    <definedName name="ListSheetsMacroButton" localSheetId="12">#REF!</definedName>
    <definedName name="ListSheetsMacroButton">#REF!</definedName>
    <definedName name="Lori">#N/A</definedName>
    <definedName name="Lori_10">#N/A</definedName>
    <definedName name="Lori_11">#N/A</definedName>
    <definedName name="Lori_12">#N/A</definedName>
    <definedName name="Lori_14">#N/A</definedName>
    <definedName name="Lori_15">#N/A</definedName>
    <definedName name="Lori_16">#N/A</definedName>
    <definedName name="Lori_17">#N/A</definedName>
    <definedName name="Lori_2">#N/A</definedName>
    <definedName name="Lori_3">#N/A</definedName>
    <definedName name="Lori_4">#N/A</definedName>
    <definedName name="Lori_5">#N/A</definedName>
    <definedName name="Lori_6">#N/A</definedName>
    <definedName name="Lori_7">#N/A</definedName>
    <definedName name="Lori_8">#N/A</definedName>
    <definedName name="Lori_9">#N/A</definedName>
    <definedName name="madgearu" localSheetId="13">#REF!</definedName>
    <definedName name="madgearu" localSheetId="1">#REF!</definedName>
    <definedName name="madgearu" localSheetId="10">#REF!</definedName>
    <definedName name="madgearu" localSheetId="4">#REF!</definedName>
    <definedName name="madgearu" localSheetId="5">#REF!</definedName>
    <definedName name="madgearu" localSheetId="6">#REF!</definedName>
    <definedName name="madgearu" localSheetId="7">#REF!</definedName>
    <definedName name="madgearu" localSheetId="9">#REF!</definedName>
    <definedName name="madgearu">#REF!</definedName>
    <definedName name="Maturity" localSheetId="1">[8]Params!$B$3</definedName>
    <definedName name="Maturity" localSheetId="10">[9]Params!$B$3</definedName>
    <definedName name="Maturity" localSheetId="5">[9]Params!$B$3</definedName>
    <definedName name="Maturity" localSheetId="6">[8]Params!$B$3</definedName>
    <definedName name="Maturity" localSheetId="7">[9]Params!$B$3</definedName>
    <definedName name="Maturity" localSheetId="9">[9]Params!$B$3</definedName>
    <definedName name="Maturity">[10]Params!$B$3</definedName>
    <definedName name="MSREF_II_892_INVESTORS_A__L.P." localSheetId="13">#REF!</definedName>
    <definedName name="MSREF_II_892_INVESTORS_A__L.P." localSheetId="14">#REF!</definedName>
    <definedName name="MSREF_II_892_INVESTORS_A__L.P." localSheetId="1">#REF!</definedName>
    <definedName name="MSREF_II_892_INVESTORS_A__L.P." localSheetId="10">#REF!</definedName>
    <definedName name="MSREF_II_892_INVESTORS_A__L.P." localSheetId="2">#REF!</definedName>
    <definedName name="MSREF_II_892_INVESTORS_A__L.P." localSheetId="3">#REF!</definedName>
    <definedName name="MSREF_II_892_INVESTORS_A__L.P." localSheetId="4">#REF!</definedName>
    <definedName name="MSREF_II_892_INVESTORS_A__L.P." localSheetId="5">#REF!</definedName>
    <definedName name="MSREF_II_892_INVESTORS_A__L.P." localSheetId="6">#REF!</definedName>
    <definedName name="MSREF_II_892_INVESTORS_A__L.P." localSheetId="7">#REF!</definedName>
    <definedName name="MSREF_II_892_INVESTORS_A__L.P." localSheetId="9">#REF!</definedName>
    <definedName name="MSREF_II_892_INVESTORS_A__L.P." localSheetId="12">#REF!</definedName>
    <definedName name="MSREF_II_892_INVESTORS_A__L.P.">#REF!</definedName>
    <definedName name="MSREF_II_892_INVESTORS_AB__L.P." localSheetId="13">#REF!</definedName>
    <definedName name="MSREF_II_892_INVESTORS_AB__L.P." localSheetId="14">#REF!</definedName>
    <definedName name="MSREF_II_892_INVESTORS_AB__L.P." localSheetId="1">#REF!</definedName>
    <definedName name="MSREF_II_892_INVESTORS_AB__L.P." localSheetId="10">#REF!</definedName>
    <definedName name="MSREF_II_892_INVESTORS_AB__L.P." localSheetId="2">#REF!</definedName>
    <definedName name="MSREF_II_892_INVESTORS_AB__L.P." localSheetId="3">#REF!</definedName>
    <definedName name="MSREF_II_892_INVESTORS_AB__L.P." localSheetId="4">#REF!</definedName>
    <definedName name="MSREF_II_892_INVESTORS_AB__L.P." localSheetId="5">#REF!</definedName>
    <definedName name="MSREF_II_892_INVESTORS_AB__L.P." localSheetId="6">#REF!</definedName>
    <definedName name="MSREF_II_892_INVESTORS_AB__L.P." localSheetId="7">#REF!</definedName>
    <definedName name="MSREF_II_892_INVESTORS_AB__L.P." localSheetId="9">#REF!</definedName>
    <definedName name="MSREF_II_892_INVESTORS_AB__L.P." localSheetId="12">#REF!</definedName>
    <definedName name="MSREF_II_892_INVESTORS_AB__L.P.">#REF!</definedName>
    <definedName name="MSREF_II_892_INVESTORS_B__L.P." localSheetId="13">#REF!</definedName>
    <definedName name="MSREF_II_892_INVESTORS_B__L.P." localSheetId="14">#REF!</definedName>
    <definedName name="MSREF_II_892_INVESTORS_B__L.P." localSheetId="1">#REF!</definedName>
    <definedName name="MSREF_II_892_INVESTORS_B__L.P." localSheetId="10">#REF!</definedName>
    <definedName name="MSREF_II_892_INVESTORS_B__L.P." localSheetId="2">#REF!</definedName>
    <definedName name="MSREF_II_892_INVESTORS_B__L.P." localSheetId="3">#REF!</definedName>
    <definedName name="MSREF_II_892_INVESTORS_B__L.P." localSheetId="4">#REF!</definedName>
    <definedName name="MSREF_II_892_INVESTORS_B__L.P." localSheetId="5">#REF!</definedName>
    <definedName name="MSREF_II_892_INVESTORS_B__L.P." localSheetId="6">#REF!</definedName>
    <definedName name="MSREF_II_892_INVESTORS_B__L.P." localSheetId="7">#REF!</definedName>
    <definedName name="MSREF_II_892_INVESTORS_B__L.P." localSheetId="9">#REF!</definedName>
    <definedName name="MSREF_II_892_INVESTORS_B__L.P." localSheetId="12">#REF!</definedName>
    <definedName name="MSREF_II_892_INVESTORS_B__L.P.">#REF!</definedName>
    <definedName name="msrefivTMTM" localSheetId="13">#REF!</definedName>
    <definedName name="msrefivTMTM" localSheetId="14">#REF!</definedName>
    <definedName name="msrefivTMTM" localSheetId="1">#REF!</definedName>
    <definedName name="msrefivTMTM" localSheetId="10">#REF!</definedName>
    <definedName name="msrefivTMTM" localSheetId="2">#REF!</definedName>
    <definedName name="msrefivTMTM" localSheetId="3">#REF!</definedName>
    <definedName name="msrefivTMTM" localSheetId="4">#REF!</definedName>
    <definedName name="msrefivTMTM" localSheetId="5">#REF!</definedName>
    <definedName name="msrefivTMTM" localSheetId="6">#REF!</definedName>
    <definedName name="msrefivTMTM" localSheetId="7">#REF!</definedName>
    <definedName name="msrefivTMTM" localSheetId="9">#REF!</definedName>
    <definedName name="msrefivTMTM" localSheetId="12">#REF!</definedName>
    <definedName name="msrefivTMTM">#REF!</definedName>
    <definedName name="msreiMTM" localSheetId="13">#REF!</definedName>
    <definedName name="msreiMTM" localSheetId="14">#REF!</definedName>
    <definedName name="msreiMTM" localSheetId="1">#REF!</definedName>
    <definedName name="msreiMTM" localSheetId="10">#REF!</definedName>
    <definedName name="msreiMTM" localSheetId="2">#REF!</definedName>
    <definedName name="msreiMTM" localSheetId="3">#REF!</definedName>
    <definedName name="msreiMTM" localSheetId="4">#REF!</definedName>
    <definedName name="msreiMTM" localSheetId="5">#REF!</definedName>
    <definedName name="msreiMTM" localSheetId="6">#REF!</definedName>
    <definedName name="msreiMTM" localSheetId="7">#REF!</definedName>
    <definedName name="msreiMTM" localSheetId="9">#REF!</definedName>
    <definedName name="msreiMTM" localSheetId="12">#REF!</definedName>
    <definedName name="msreiMTM">#REF!</definedName>
    <definedName name="MTMHeader" localSheetId="13">#REF!</definedName>
    <definedName name="MTMHeader" localSheetId="14">#REF!</definedName>
    <definedName name="MTMHeader" localSheetId="1">#REF!</definedName>
    <definedName name="MTMHeader" localSheetId="10">#REF!</definedName>
    <definedName name="MTMHeader" localSheetId="2">#REF!</definedName>
    <definedName name="MTMHeader" localSheetId="3">#REF!</definedName>
    <definedName name="MTMHeader" localSheetId="4">#REF!</definedName>
    <definedName name="MTMHeader" localSheetId="5">#REF!</definedName>
    <definedName name="MTMHeader" localSheetId="6">#REF!</definedName>
    <definedName name="MTMHeader" localSheetId="7">#REF!</definedName>
    <definedName name="MTMHeader" localSheetId="9">#REF!</definedName>
    <definedName name="MTMHeader" localSheetId="12">#REF!</definedName>
    <definedName name="MTMHeader">#REF!</definedName>
    <definedName name="NET_DSITR.ProForma.Year" localSheetId="13">#REF!</definedName>
    <definedName name="NET_DSITR.ProForma.Year" localSheetId="14">#REF!</definedName>
    <definedName name="NET_DSITR.ProForma.Year" localSheetId="1">#REF!</definedName>
    <definedName name="NET_DSITR.ProForma.Year" localSheetId="10">#REF!</definedName>
    <definedName name="NET_DSITR.ProForma.Year" localSheetId="2">#REF!</definedName>
    <definedName name="NET_DSITR.ProForma.Year" localSheetId="3">#REF!</definedName>
    <definedName name="NET_DSITR.ProForma.Year" localSheetId="4">#REF!</definedName>
    <definedName name="NET_DSITR.ProForma.Year" localSheetId="5">#REF!</definedName>
    <definedName name="NET_DSITR.ProForma.Year" localSheetId="6">#REF!</definedName>
    <definedName name="NET_DSITR.ProForma.Year" localSheetId="7">#REF!</definedName>
    <definedName name="NET_DSITR.ProForma.Year" localSheetId="9">#REF!</definedName>
    <definedName name="NET_DSITR.ProForma.Year" localSheetId="12">#REF!</definedName>
    <definedName name="NET_DSITR.ProForma.Year">#REF!</definedName>
    <definedName name="Net_Outstanding_Debt" localSheetId="13">'[1]Module 6_Condensed Budget'!#REF!</definedName>
    <definedName name="Net_Outstanding_Debt" localSheetId="14">'[1]Module 6_Condensed Budget'!#REF!</definedName>
    <definedName name="Net_Outstanding_Debt" localSheetId="1">'[2]Module 6_Condensed Budget'!#REF!</definedName>
    <definedName name="Net_Outstanding_Debt" localSheetId="10">'[1]Module 6_Condensed Budget'!#REF!</definedName>
    <definedName name="Net_Outstanding_Debt" localSheetId="2">'[1]Module 6_Condensed Budget'!#REF!</definedName>
    <definedName name="Net_Outstanding_Debt" localSheetId="3">'[1]Module 6_Condensed Budget'!#REF!</definedName>
    <definedName name="Net_Outstanding_Debt" localSheetId="4">'[1]Module 6_Condensed Budget'!#REF!</definedName>
    <definedName name="Net_Outstanding_Debt" localSheetId="5">'[1]Module 6_Condensed Budget'!#REF!</definedName>
    <definedName name="Net_Outstanding_Debt" localSheetId="6">'[2]Module 6_Condensed Budget'!#REF!</definedName>
    <definedName name="Net_Outstanding_Debt" localSheetId="7">'[1]Module 6_Condensed Budget'!#REF!</definedName>
    <definedName name="Net_Outstanding_Debt" localSheetId="9">'[1]Module 6_Condensed Budget'!#REF!</definedName>
    <definedName name="Net_Outstanding_Debt" localSheetId="12">'[2]Module 6_Condensed Budget'!#REF!</definedName>
    <definedName name="Net_Outstanding_Debt">'[2]Module 6_Condensed Budget'!#REF!</definedName>
    <definedName name="new">#N/A</definedName>
    <definedName name="new_10">#N/A</definedName>
    <definedName name="new_11">#N/A</definedName>
    <definedName name="new_12">#N/A</definedName>
    <definedName name="new_14">#N/A</definedName>
    <definedName name="new_15">#N/A</definedName>
    <definedName name="new_16">#N/A</definedName>
    <definedName name="new_17">#N/A</definedName>
    <definedName name="new_2">#N/A</definedName>
    <definedName name="new_3">#N/A</definedName>
    <definedName name="new_4">#N/A</definedName>
    <definedName name="new_5">#N/A</definedName>
    <definedName name="new_6">#N/A</definedName>
    <definedName name="new_7">#N/A</definedName>
    <definedName name="new_8">#N/A</definedName>
    <definedName name="new_9">#N/A</definedName>
    <definedName name="Nucleulsava" localSheetId="13">#REF!</definedName>
    <definedName name="Nucleulsava" localSheetId="1">#REF!</definedName>
    <definedName name="Nucleulsava" localSheetId="10">#REF!</definedName>
    <definedName name="Nucleulsava" localSheetId="4">#REF!</definedName>
    <definedName name="Nucleulsava" localSheetId="5">#REF!</definedName>
    <definedName name="Nucleulsava" localSheetId="6">#REF!</definedName>
    <definedName name="Nucleulsava" localSheetId="7">#REF!</definedName>
    <definedName name="Nucleulsava" localSheetId="9">#REF!</definedName>
    <definedName name="Nucleulsava">#REF!</definedName>
    <definedName name="_xlnm.Print_Area" localSheetId="13">'1.3'!$A$1:$M$48</definedName>
    <definedName name="_xlnm.Print_Area" localSheetId="14">'1.4'!$A$3:$Z$69</definedName>
    <definedName name="_xlnm.Print_Area" localSheetId="12">'grad indatorare'!$A$1:$H$27</definedName>
    <definedName name="PrintManagerQuery" localSheetId="13">#REF!</definedName>
    <definedName name="PrintManagerQuery" localSheetId="14">#REF!</definedName>
    <definedName name="PrintManagerQuery" localSheetId="1">#REF!</definedName>
    <definedName name="PrintManagerQuery" localSheetId="10">#REF!</definedName>
    <definedName name="PrintManagerQuery" localSheetId="2">#REF!</definedName>
    <definedName name="PrintManagerQuery" localSheetId="3">#REF!</definedName>
    <definedName name="PrintManagerQuery" localSheetId="4">#REF!</definedName>
    <definedName name="PrintManagerQuery" localSheetId="5">#REF!</definedName>
    <definedName name="PrintManagerQuery" localSheetId="6">#REF!</definedName>
    <definedName name="PrintManagerQuery" localSheetId="7">#REF!</definedName>
    <definedName name="PrintManagerQuery" localSheetId="9">#REF!</definedName>
    <definedName name="PrintManagerQuery" localSheetId="12">#REF!</definedName>
    <definedName name="PrintManagerQuery">#REF!</definedName>
    <definedName name="PrintSelectedSheetsMacroButton" localSheetId="13">#REF!</definedName>
    <definedName name="PrintSelectedSheetsMacroButton" localSheetId="14">#REF!</definedName>
    <definedName name="PrintSelectedSheetsMacroButton" localSheetId="1">#REF!</definedName>
    <definedName name="PrintSelectedSheetsMacroButton" localSheetId="10">#REF!</definedName>
    <definedName name="PrintSelectedSheetsMacroButton" localSheetId="2">#REF!</definedName>
    <definedName name="PrintSelectedSheetsMacroButton" localSheetId="3">#REF!</definedName>
    <definedName name="PrintSelectedSheetsMacroButton" localSheetId="4">#REF!</definedName>
    <definedName name="PrintSelectedSheetsMacroButton" localSheetId="5">#REF!</definedName>
    <definedName name="PrintSelectedSheetsMacroButton" localSheetId="6">#REF!</definedName>
    <definedName name="PrintSelectedSheetsMacroButton" localSheetId="7">#REF!</definedName>
    <definedName name="PrintSelectedSheetsMacroButton" localSheetId="9">#REF!</definedName>
    <definedName name="PrintSelectedSheetsMacroButton" localSheetId="12">#REF!</definedName>
    <definedName name="PrintSelectedSheetsMacroButton">#REF!</definedName>
    <definedName name="Proceeds_from_the_sale_of_public_property" localSheetId="13">'[1]Module 6_Condensed Budget'!#REF!</definedName>
    <definedName name="Proceeds_from_the_sale_of_public_property" localSheetId="14">'[1]Module 6_Condensed Budget'!#REF!</definedName>
    <definedName name="Proceeds_from_the_sale_of_public_property" localSheetId="1">'[2]Module 6_Condensed Budget'!#REF!</definedName>
    <definedName name="Proceeds_from_the_sale_of_public_property" localSheetId="10">'[1]Module 6_Condensed Budget'!#REF!</definedName>
    <definedName name="Proceeds_from_the_sale_of_public_property" localSheetId="2">'[1]Module 6_Condensed Budget'!#REF!</definedName>
    <definedName name="Proceeds_from_the_sale_of_public_property" localSheetId="3">'[1]Module 6_Condensed Budget'!#REF!</definedName>
    <definedName name="Proceeds_from_the_sale_of_public_property" localSheetId="4">'[1]Module 6_Condensed Budget'!#REF!</definedName>
    <definedName name="Proceeds_from_the_sale_of_public_property" localSheetId="5">'[1]Module 6_Condensed Budget'!#REF!</definedName>
    <definedName name="Proceeds_from_the_sale_of_public_property" localSheetId="6">'[2]Module 6_Condensed Budget'!#REF!</definedName>
    <definedName name="Proceeds_from_the_sale_of_public_property" localSheetId="7">'[1]Module 6_Condensed Budget'!#REF!</definedName>
    <definedName name="Proceeds_from_the_sale_of_public_property" localSheetId="9">'[1]Module 6_Condensed Budget'!#REF!</definedName>
    <definedName name="Proceeds_from_the_sale_of_public_property" localSheetId="12">'[2]Module 6_Condensed Budget'!#REF!</definedName>
    <definedName name="Proceeds_from_the_sale_of_public_property">'[2]Module 6_Condensed Budget'!#REF!</definedName>
    <definedName name="ProjectName">#N/A</definedName>
    <definedName name="ProjectName_10">#N/A</definedName>
    <definedName name="ProjectName_11">#N/A</definedName>
    <definedName name="ProjectName_12">#N/A</definedName>
    <definedName name="ProjectName_14">#N/A</definedName>
    <definedName name="ProjectName_15">#N/A</definedName>
    <definedName name="ProjectName_16">#N/A</definedName>
    <definedName name="ProjectName_17">#N/A</definedName>
    <definedName name="ProjectName_2">#N/A</definedName>
    <definedName name="ProjectName_3">#N/A</definedName>
    <definedName name="ProjectName_4">#N/A</definedName>
    <definedName name="ProjectName_5">#N/A</definedName>
    <definedName name="ProjectName_6">#N/A</definedName>
    <definedName name="ProjectName_7">#N/A</definedName>
    <definedName name="ProjectName_8">#N/A</definedName>
    <definedName name="ProjectName_9">#N/A</definedName>
    <definedName name="q" localSheetId="13" hidden="1">{#N/A,#N/A,FALSE,"Fund-II"}</definedName>
    <definedName name="q" localSheetId="14" hidden="1">{#N/A,#N/A,FALSE,"Fund-II"}</definedName>
    <definedName name="q" localSheetId="1" hidden="1">{#N/A,#N/A,FALSE,"Fund-II"}</definedName>
    <definedName name="q" localSheetId="10" hidden="1">{#N/A,#N/A,FALSE,"Fund-II"}</definedName>
    <definedName name="q" localSheetId="2" hidden="1">{#N/A,#N/A,FALSE,"Fund-II"}</definedName>
    <definedName name="q" localSheetId="3" hidden="1">{#N/A,#N/A,FALSE,"Fund-II"}</definedName>
    <definedName name="q" localSheetId="4" hidden="1">{#N/A,#N/A,FALSE,"Fund-II"}</definedName>
    <definedName name="q" localSheetId="5" hidden="1">{#N/A,#N/A,FALSE,"Fund-II"}</definedName>
    <definedName name="q" localSheetId="6" hidden="1">{#N/A,#N/A,FALSE,"Fund-II"}</definedName>
    <definedName name="q" localSheetId="7" hidden="1">{#N/A,#N/A,FALSE,"Fund-II"}</definedName>
    <definedName name="q" localSheetId="9" hidden="1">{#N/A,#N/A,FALSE,"Fund-II"}</definedName>
    <definedName name="q" hidden="1">{#N/A,#N/A,FALSE,"Fund-II"}</definedName>
    <definedName name="qw" localSheetId="13">#REF!</definedName>
    <definedName name="qw" localSheetId="14">#REF!</definedName>
    <definedName name="qw" localSheetId="1">#REF!</definedName>
    <definedName name="qw" localSheetId="10">#REF!</definedName>
    <definedName name="qw" localSheetId="2">#REF!</definedName>
    <definedName name="qw" localSheetId="3">#REF!</definedName>
    <definedName name="qw" localSheetId="4">#REF!</definedName>
    <definedName name="qw" localSheetId="5">#REF!</definedName>
    <definedName name="qw" localSheetId="6">#REF!</definedName>
    <definedName name="qw" localSheetId="7">#REF!</definedName>
    <definedName name="qw" localSheetId="9">#REF!</definedName>
    <definedName name="qw">#REF!</definedName>
    <definedName name="qwq" localSheetId="13">#REF!</definedName>
    <definedName name="qwq" localSheetId="14">#REF!</definedName>
    <definedName name="qwq" localSheetId="1">#REF!</definedName>
    <definedName name="qwq" localSheetId="10">#REF!</definedName>
    <definedName name="qwq" localSheetId="2">#REF!</definedName>
    <definedName name="qwq" localSheetId="3">#REF!</definedName>
    <definedName name="qwq" localSheetId="4">#REF!</definedName>
    <definedName name="qwq" localSheetId="5">#REF!</definedName>
    <definedName name="qwq" localSheetId="6">#REF!</definedName>
    <definedName name="qwq" localSheetId="7">#REF!</definedName>
    <definedName name="qwq" localSheetId="9">#REF!</definedName>
    <definedName name="qwq">#REF!</definedName>
    <definedName name="radu" localSheetId="13">#REF!</definedName>
    <definedName name="radu" localSheetId="14">#REF!</definedName>
    <definedName name="radu" localSheetId="1">#REF!</definedName>
    <definedName name="radu" localSheetId="10">#REF!</definedName>
    <definedName name="radu" localSheetId="2">#REF!</definedName>
    <definedName name="radu" localSheetId="3">#REF!</definedName>
    <definedName name="radu" localSheetId="4">#REF!</definedName>
    <definedName name="radu" localSheetId="5">#REF!</definedName>
    <definedName name="radu" localSheetId="6">#REF!</definedName>
    <definedName name="radu" localSheetId="7">#REF!</definedName>
    <definedName name="radu" localSheetId="9">#REF!</definedName>
    <definedName name="radu">#REF!</definedName>
    <definedName name="Recurring_Surplus__Deficit" localSheetId="10">'[11]_Cash Flow_'!$C$36:$AM$36</definedName>
    <definedName name="Recurring_Surplus__Deficit" localSheetId="5">'[11]_Cash Flow_'!$C$36:$AM$36</definedName>
    <definedName name="Recurring_Surplus__Deficit" localSheetId="7">'[11]_Cash Flow_'!$C$36:$AM$36</definedName>
    <definedName name="Recurring_Surplus__Deficit" localSheetId="9">'[11]_Cash Flow_'!$C$36:$AM$36</definedName>
    <definedName name="Recurring_Surplus__Deficit">'[11]_Cash Flow_'!$C$36:$AM$36</definedName>
    <definedName name="RedFlag_1" localSheetId="13">#REF!</definedName>
    <definedName name="RedFlag_1" localSheetId="14">#REF!</definedName>
    <definedName name="RedFlag_1" localSheetId="1">#REF!</definedName>
    <definedName name="RedFlag_1" localSheetId="10">#REF!</definedName>
    <definedName name="RedFlag_1" localSheetId="2">#REF!</definedName>
    <definedName name="RedFlag_1" localSheetId="3">#REF!</definedName>
    <definedName name="RedFlag_1" localSheetId="4">#REF!</definedName>
    <definedName name="RedFlag_1" localSheetId="5">#REF!</definedName>
    <definedName name="RedFlag_1" localSheetId="6">#REF!</definedName>
    <definedName name="RedFlag_1" localSheetId="7">#REF!</definedName>
    <definedName name="RedFlag_1" localSheetId="9">#REF!</definedName>
    <definedName name="RedFlag_1" localSheetId="12">#REF!</definedName>
    <definedName name="RedFlag_1">#REF!</definedName>
    <definedName name="RedFlag_10" localSheetId="13">#REF!</definedName>
    <definedName name="RedFlag_10" localSheetId="14">#REF!</definedName>
    <definedName name="RedFlag_10" localSheetId="1">#REF!</definedName>
    <definedName name="RedFlag_10" localSheetId="10">#REF!</definedName>
    <definedName name="RedFlag_10" localSheetId="2">#REF!</definedName>
    <definedName name="RedFlag_10" localSheetId="3">#REF!</definedName>
    <definedName name="RedFlag_10" localSheetId="4">#REF!</definedName>
    <definedName name="RedFlag_10" localSheetId="5">#REF!</definedName>
    <definedName name="RedFlag_10" localSheetId="6">#REF!</definedName>
    <definedName name="RedFlag_10" localSheetId="7">#REF!</definedName>
    <definedName name="RedFlag_10" localSheetId="9">#REF!</definedName>
    <definedName name="RedFlag_10" localSheetId="12">#REF!</definedName>
    <definedName name="RedFlag_10">#REF!</definedName>
    <definedName name="RedFlag_111" localSheetId="13">#REF!</definedName>
    <definedName name="RedFlag_111" localSheetId="14">#REF!</definedName>
    <definedName name="RedFlag_111" localSheetId="1">#REF!</definedName>
    <definedName name="RedFlag_111" localSheetId="10">#REF!</definedName>
    <definedName name="RedFlag_111" localSheetId="2">#REF!</definedName>
    <definedName name="RedFlag_111" localSheetId="3">#REF!</definedName>
    <definedName name="RedFlag_111" localSheetId="4">#REF!</definedName>
    <definedName name="RedFlag_111" localSheetId="5">#REF!</definedName>
    <definedName name="RedFlag_111" localSheetId="6">#REF!</definedName>
    <definedName name="RedFlag_111" localSheetId="7">#REF!</definedName>
    <definedName name="RedFlag_111" localSheetId="9">#REF!</definedName>
    <definedName name="RedFlag_111" localSheetId="12">#REF!</definedName>
    <definedName name="RedFlag_111">#REF!</definedName>
    <definedName name="RedFlag_112" localSheetId="13">#REF!</definedName>
    <definedName name="RedFlag_112" localSheetId="14">#REF!</definedName>
    <definedName name="RedFlag_112" localSheetId="1">#REF!</definedName>
    <definedName name="RedFlag_112" localSheetId="10">#REF!</definedName>
    <definedName name="RedFlag_112" localSheetId="2">#REF!</definedName>
    <definedName name="RedFlag_112" localSheetId="3">#REF!</definedName>
    <definedName name="RedFlag_112" localSheetId="4">#REF!</definedName>
    <definedName name="RedFlag_112" localSheetId="5">#REF!</definedName>
    <definedName name="RedFlag_112" localSheetId="6">#REF!</definedName>
    <definedName name="RedFlag_112" localSheetId="7">#REF!</definedName>
    <definedName name="RedFlag_112" localSheetId="9">#REF!</definedName>
    <definedName name="RedFlag_112" localSheetId="12">#REF!</definedName>
    <definedName name="RedFlag_112">#REF!</definedName>
    <definedName name="RedFlag_113" localSheetId="13">#REF!</definedName>
    <definedName name="RedFlag_113" localSheetId="14">#REF!</definedName>
    <definedName name="RedFlag_113" localSheetId="1">#REF!</definedName>
    <definedName name="RedFlag_113" localSheetId="10">#REF!</definedName>
    <definedName name="RedFlag_113" localSheetId="2">#REF!</definedName>
    <definedName name="RedFlag_113" localSheetId="3">#REF!</definedName>
    <definedName name="RedFlag_113" localSheetId="4">#REF!</definedName>
    <definedName name="RedFlag_113" localSheetId="5">#REF!</definedName>
    <definedName name="RedFlag_113" localSheetId="6">#REF!</definedName>
    <definedName name="RedFlag_113" localSheetId="7">#REF!</definedName>
    <definedName name="RedFlag_113" localSheetId="9">#REF!</definedName>
    <definedName name="RedFlag_113" localSheetId="12">#REF!</definedName>
    <definedName name="RedFlag_113">#REF!</definedName>
    <definedName name="RedFlag_114" localSheetId="13">#REF!</definedName>
    <definedName name="RedFlag_114" localSheetId="14">#REF!</definedName>
    <definedName name="RedFlag_114" localSheetId="1">#REF!</definedName>
    <definedName name="RedFlag_114" localSheetId="10">#REF!</definedName>
    <definedName name="RedFlag_114" localSheetId="2">#REF!</definedName>
    <definedName name="RedFlag_114" localSheetId="3">#REF!</definedName>
    <definedName name="RedFlag_114" localSheetId="4">#REF!</definedName>
    <definedName name="RedFlag_114" localSheetId="5">#REF!</definedName>
    <definedName name="RedFlag_114" localSheetId="6">#REF!</definedName>
    <definedName name="RedFlag_114" localSheetId="7">#REF!</definedName>
    <definedName name="RedFlag_114" localSheetId="9">#REF!</definedName>
    <definedName name="RedFlag_114" localSheetId="12">#REF!</definedName>
    <definedName name="RedFlag_114">#REF!</definedName>
    <definedName name="RedFlag_115" localSheetId="13">#REF!</definedName>
    <definedName name="RedFlag_115" localSheetId="14">#REF!</definedName>
    <definedName name="RedFlag_115" localSheetId="1">#REF!</definedName>
    <definedName name="RedFlag_115" localSheetId="10">#REF!</definedName>
    <definedName name="RedFlag_115" localSheetId="2">#REF!</definedName>
    <definedName name="RedFlag_115" localSheetId="3">#REF!</definedName>
    <definedName name="RedFlag_115" localSheetId="4">#REF!</definedName>
    <definedName name="RedFlag_115" localSheetId="5">#REF!</definedName>
    <definedName name="RedFlag_115" localSheetId="6">#REF!</definedName>
    <definedName name="RedFlag_115" localSheetId="7">#REF!</definedName>
    <definedName name="RedFlag_115" localSheetId="9">#REF!</definedName>
    <definedName name="RedFlag_115" localSheetId="12">#REF!</definedName>
    <definedName name="RedFlag_115">#REF!</definedName>
    <definedName name="RedFlag_116" localSheetId="13">#REF!</definedName>
    <definedName name="RedFlag_116" localSheetId="14">#REF!</definedName>
    <definedName name="RedFlag_116" localSheetId="1">#REF!</definedName>
    <definedName name="RedFlag_116" localSheetId="10">#REF!</definedName>
    <definedName name="RedFlag_116" localSheetId="2">#REF!</definedName>
    <definedName name="RedFlag_116" localSheetId="3">#REF!</definedName>
    <definedName name="RedFlag_116" localSheetId="4">#REF!</definedName>
    <definedName name="RedFlag_116" localSheetId="5">#REF!</definedName>
    <definedName name="RedFlag_116" localSheetId="6">#REF!</definedName>
    <definedName name="RedFlag_116" localSheetId="7">#REF!</definedName>
    <definedName name="RedFlag_116" localSheetId="9">#REF!</definedName>
    <definedName name="RedFlag_116" localSheetId="12">#REF!</definedName>
    <definedName name="RedFlag_116">#REF!</definedName>
    <definedName name="RedFlag_117" localSheetId="13">#REF!</definedName>
    <definedName name="RedFlag_117" localSheetId="14">#REF!</definedName>
    <definedName name="RedFlag_117" localSheetId="1">#REF!</definedName>
    <definedName name="RedFlag_117" localSheetId="10">#REF!</definedName>
    <definedName name="RedFlag_117" localSheetId="2">#REF!</definedName>
    <definedName name="RedFlag_117" localSheetId="3">#REF!</definedName>
    <definedName name="RedFlag_117" localSheetId="4">#REF!</definedName>
    <definedName name="RedFlag_117" localSheetId="5">#REF!</definedName>
    <definedName name="RedFlag_117" localSheetId="6">#REF!</definedName>
    <definedName name="RedFlag_117" localSheetId="7">#REF!</definedName>
    <definedName name="RedFlag_117" localSheetId="9">#REF!</definedName>
    <definedName name="RedFlag_117" localSheetId="12">#REF!</definedName>
    <definedName name="RedFlag_117">#REF!</definedName>
    <definedName name="RedFlag_118" localSheetId="13">#REF!</definedName>
    <definedName name="RedFlag_118" localSheetId="14">#REF!</definedName>
    <definedName name="RedFlag_118" localSheetId="1">#REF!</definedName>
    <definedName name="RedFlag_118" localSheetId="10">#REF!</definedName>
    <definedName name="RedFlag_118" localSheetId="2">#REF!</definedName>
    <definedName name="RedFlag_118" localSheetId="3">#REF!</definedName>
    <definedName name="RedFlag_118" localSheetId="4">#REF!</definedName>
    <definedName name="RedFlag_118" localSheetId="5">#REF!</definedName>
    <definedName name="RedFlag_118" localSheetId="6">#REF!</definedName>
    <definedName name="RedFlag_118" localSheetId="7">#REF!</definedName>
    <definedName name="RedFlag_118" localSheetId="9">#REF!</definedName>
    <definedName name="RedFlag_118" localSheetId="12">#REF!</definedName>
    <definedName name="RedFlag_118">#REF!</definedName>
    <definedName name="RedFlag_119" localSheetId="13">#REF!</definedName>
    <definedName name="RedFlag_119" localSheetId="14">#REF!</definedName>
    <definedName name="RedFlag_119" localSheetId="1">#REF!</definedName>
    <definedName name="RedFlag_119" localSheetId="10">#REF!</definedName>
    <definedName name="RedFlag_119" localSheetId="2">#REF!</definedName>
    <definedName name="RedFlag_119" localSheetId="3">#REF!</definedName>
    <definedName name="RedFlag_119" localSheetId="4">#REF!</definedName>
    <definedName name="RedFlag_119" localSheetId="5">#REF!</definedName>
    <definedName name="RedFlag_119" localSheetId="6">#REF!</definedName>
    <definedName name="RedFlag_119" localSheetId="7">#REF!</definedName>
    <definedName name="RedFlag_119" localSheetId="9">#REF!</definedName>
    <definedName name="RedFlag_119" localSheetId="12">#REF!</definedName>
    <definedName name="RedFlag_119">#REF!</definedName>
    <definedName name="RedFlag_120" localSheetId="13">#REF!</definedName>
    <definedName name="RedFlag_120" localSheetId="14">#REF!</definedName>
    <definedName name="RedFlag_120" localSheetId="1">#REF!</definedName>
    <definedName name="RedFlag_120" localSheetId="10">#REF!</definedName>
    <definedName name="RedFlag_120" localSheetId="2">#REF!</definedName>
    <definedName name="RedFlag_120" localSheetId="3">#REF!</definedName>
    <definedName name="RedFlag_120" localSheetId="4">#REF!</definedName>
    <definedName name="RedFlag_120" localSheetId="5">#REF!</definedName>
    <definedName name="RedFlag_120" localSheetId="6">#REF!</definedName>
    <definedName name="RedFlag_120" localSheetId="7">#REF!</definedName>
    <definedName name="RedFlag_120" localSheetId="9">#REF!</definedName>
    <definedName name="RedFlag_120" localSheetId="12">#REF!</definedName>
    <definedName name="RedFlag_120">#REF!</definedName>
    <definedName name="RedFlag_121" localSheetId="13">#REF!</definedName>
    <definedName name="RedFlag_121" localSheetId="14">#REF!</definedName>
    <definedName name="RedFlag_121" localSheetId="1">#REF!</definedName>
    <definedName name="RedFlag_121" localSheetId="10">#REF!</definedName>
    <definedName name="RedFlag_121" localSheetId="2">#REF!</definedName>
    <definedName name="RedFlag_121" localSheetId="3">#REF!</definedName>
    <definedName name="RedFlag_121" localSheetId="4">#REF!</definedName>
    <definedName name="RedFlag_121" localSheetId="5">#REF!</definedName>
    <definedName name="RedFlag_121" localSheetId="6">#REF!</definedName>
    <definedName name="RedFlag_121" localSheetId="7">#REF!</definedName>
    <definedName name="RedFlag_121" localSheetId="9">#REF!</definedName>
    <definedName name="RedFlag_121" localSheetId="12">#REF!</definedName>
    <definedName name="RedFlag_121">#REF!</definedName>
    <definedName name="RedFlag_122" localSheetId="13">#REF!</definedName>
    <definedName name="RedFlag_122" localSheetId="14">#REF!</definedName>
    <definedName name="RedFlag_122" localSheetId="1">#REF!</definedName>
    <definedName name="RedFlag_122" localSheetId="10">#REF!</definedName>
    <definedName name="RedFlag_122" localSheetId="2">#REF!</definedName>
    <definedName name="RedFlag_122" localSheetId="3">#REF!</definedName>
    <definedName name="RedFlag_122" localSheetId="4">#REF!</definedName>
    <definedName name="RedFlag_122" localSheetId="5">#REF!</definedName>
    <definedName name="RedFlag_122" localSheetId="6">#REF!</definedName>
    <definedName name="RedFlag_122" localSheetId="7">#REF!</definedName>
    <definedName name="RedFlag_122" localSheetId="9">#REF!</definedName>
    <definedName name="RedFlag_122" localSheetId="12">#REF!</definedName>
    <definedName name="RedFlag_122">#REF!</definedName>
    <definedName name="RedFlag_123" localSheetId="13">#REF!</definedName>
    <definedName name="RedFlag_123" localSheetId="14">#REF!</definedName>
    <definedName name="RedFlag_123" localSheetId="1">#REF!</definedName>
    <definedName name="RedFlag_123" localSheetId="10">#REF!</definedName>
    <definedName name="RedFlag_123" localSheetId="2">#REF!</definedName>
    <definedName name="RedFlag_123" localSheetId="3">#REF!</definedName>
    <definedName name="RedFlag_123" localSheetId="4">#REF!</definedName>
    <definedName name="RedFlag_123" localSheetId="5">#REF!</definedName>
    <definedName name="RedFlag_123" localSheetId="6">#REF!</definedName>
    <definedName name="RedFlag_123" localSheetId="7">#REF!</definedName>
    <definedName name="RedFlag_123" localSheetId="9">#REF!</definedName>
    <definedName name="RedFlag_123" localSheetId="12">#REF!</definedName>
    <definedName name="RedFlag_123">#REF!</definedName>
    <definedName name="RedFlag_124" localSheetId="13">#REF!</definedName>
    <definedName name="RedFlag_124" localSheetId="14">#REF!</definedName>
    <definedName name="RedFlag_124" localSheetId="1">#REF!</definedName>
    <definedName name="RedFlag_124" localSheetId="10">#REF!</definedName>
    <definedName name="RedFlag_124" localSheetId="2">#REF!</definedName>
    <definedName name="RedFlag_124" localSheetId="3">#REF!</definedName>
    <definedName name="RedFlag_124" localSheetId="4">#REF!</definedName>
    <definedName name="RedFlag_124" localSheetId="5">#REF!</definedName>
    <definedName name="RedFlag_124" localSheetId="6">#REF!</definedName>
    <definedName name="RedFlag_124" localSheetId="7">#REF!</definedName>
    <definedName name="RedFlag_124" localSheetId="9">#REF!</definedName>
    <definedName name="RedFlag_124" localSheetId="12">#REF!</definedName>
    <definedName name="RedFlag_124">#REF!</definedName>
    <definedName name="RedFlag_125" localSheetId="13">#REF!</definedName>
    <definedName name="RedFlag_125" localSheetId="14">#REF!</definedName>
    <definedName name="RedFlag_125" localSheetId="1">#REF!</definedName>
    <definedName name="RedFlag_125" localSheetId="10">#REF!</definedName>
    <definedName name="RedFlag_125" localSheetId="2">#REF!</definedName>
    <definedName name="RedFlag_125" localSheetId="3">#REF!</definedName>
    <definedName name="RedFlag_125" localSheetId="4">#REF!</definedName>
    <definedName name="RedFlag_125" localSheetId="5">#REF!</definedName>
    <definedName name="RedFlag_125" localSheetId="6">#REF!</definedName>
    <definedName name="RedFlag_125" localSheetId="7">#REF!</definedName>
    <definedName name="RedFlag_125" localSheetId="9">#REF!</definedName>
    <definedName name="RedFlag_125" localSheetId="12">#REF!</definedName>
    <definedName name="RedFlag_125">#REF!</definedName>
    <definedName name="RedFlag_126" localSheetId="13">#REF!</definedName>
    <definedName name="RedFlag_126" localSheetId="14">#REF!</definedName>
    <definedName name="RedFlag_126" localSheetId="1">#REF!</definedName>
    <definedName name="RedFlag_126" localSheetId="10">#REF!</definedName>
    <definedName name="RedFlag_126" localSheetId="2">#REF!</definedName>
    <definedName name="RedFlag_126" localSheetId="3">#REF!</definedName>
    <definedName name="RedFlag_126" localSheetId="4">#REF!</definedName>
    <definedName name="RedFlag_126" localSheetId="5">#REF!</definedName>
    <definedName name="RedFlag_126" localSheetId="6">#REF!</definedName>
    <definedName name="RedFlag_126" localSheetId="7">#REF!</definedName>
    <definedName name="RedFlag_126" localSheetId="9">#REF!</definedName>
    <definedName name="RedFlag_126" localSheetId="12">#REF!</definedName>
    <definedName name="RedFlag_126">#REF!</definedName>
    <definedName name="RedFlag_127" localSheetId="13">#REF!</definedName>
    <definedName name="RedFlag_127" localSheetId="14">#REF!</definedName>
    <definedName name="RedFlag_127" localSheetId="1">#REF!</definedName>
    <definedName name="RedFlag_127" localSheetId="10">#REF!</definedName>
    <definedName name="RedFlag_127" localSheetId="2">#REF!</definedName>
    <definedName name="RedFlag_127" localSheetId="3">#REF!</definedName>
    <definedName name="RedFlag_127" localSheetId="4">#REF!</definedName>
    <definedName name="RedFlag_127" localSheetId="5">#REF!</definedName>
    <definedName name="RedFlag_127" localSheetId="6">#REF!</definedName>
    <definedName name="RedFlag_127" localSheetId="7">#REF!</definedName>
    <definedName name="RedFlag_127" localSheetId="9">#REF!</definedName>
    <definedName name="RedFlag_127" localSheetId="12">#REF!</definedName>
    <definedName name="RedFlag_127">#REF!</definedName>
    <definedName name="RedFlag_128" localSheetId="13">#REF!</definedName>
    <definedName name="RedFlag_128" localSheetId="14">#REF!</definedName>
    <definedName name="RedFlag_128" localSheetId="1">#REF!</definedName>
    <definedName name="RedFlag_128" localSheetId="10">#REF!</definedName>
    <definedName name="RedFlag_128" localSheetId="2">#REF!</definedName>
    <definedName name="RedFlag_128" localSheetId="3">#REF!</definedName>
    <definedName name="RedFlag_128" localSheetId="4">#REF!</definedName>
    <definedName name="RedFlag_128" localSheetId="5">#REF!</definedName>
    <definedName name="RedFlag_128" localSheetId="6">#REF!</definedName>
    <definedName name="RedFlag_128" localSheetId="7">#REF!</definedName>
    <definedName name="RedFlag_128" localSheetId="9">#REF!</definedName>
    <definedName name="RedFlag_128" localSheetId="12">#REF!</definedName>
    <definedName name="RedFlag_128">#REF!</definedName>
    <definedName name="RedFlag_129" localSheetId="13">#REF!</definedName>
    <definedName name="RedFlag_129" localSheetId="14">#REF!</definedName>
    <definedName name="RedFlag_129" localSheetId="1">#REF!</definedName>
    <definedName name="RedFlag_129" localSheetId="10">#REF!</definedName>
    <definedName name="RedFlag_129" localSheetId="2">#REF!</definedName>
    <definedName name="RedFlag_129" localSheetId="3">#REF!</definedName>
    <definedName name="RedFlag_129" localSheetId="4">#REF!</definedName>
    <definedName name="RedFlag_129" localSheetId="5">#REF!</definedName>
    <definedName name="RedFlag_129" localSheetId="6">#REF!</definedName>
    <definedName name="RedFlag_129" localSheetId="7">#REF!</definedName>
    <definedName name="RedFlag_129" localSheetId="9">#REF!</definedName>
    <definedName name="RedFlag_129" localSheetId="12">#REF!</definedName>
    <definedName name="RedFlag_129">#REF!</definedName>
    <definedName name="RedFlag_130" localSheetId="13">#REF!</definedName>
    <definedName name="RedFlag_130" localSheetId="14">#REF!</definedName>
    <definedName name="RedFlag_130" localSheetId="1">#REF!</definedName>
    <definedName name="RedFlag_130" localSheetId="10">#REF!</definedName>
    <definedName name="RedFlag_130" localSheetId="2">#REF!</definedName>
    <definedName name="RedFlag_130" localSheetId="3">#REF!</definedName>
    <definedName name="RedFlag_130" localSheetId="4">#REF!</definedName>
    <definedName name="RedFlag_130" localSheetId="5">#REF!</definedName>
    <definedName name="RedFlag_130" localSheetId="6">#REF!</definedName>
    <definedName name="RedFlag_130" localSheetId="7">#REF!</definedName>
    <definedName name="RedFlag_130" localSheetId="9">#REF!</definedName>
    <definedName name="RedFlag_130" localSheetId="12">#REF!</definedName>
    <definedName name="RedFlag_130">#REF!</definedName>
    <definedName name="RedFlag_131" localSheetId="13">#REF!</definedName>
    <definedName name="RedFlag_131" localSheetId="14">#REF!</definedName>
    <definedName name="RedFlag_131" localSheetId="1">#REF!</definedName>
    <definedName name="RedFlag_131" localSheetId="10">#REF!</definedName>
    <definedName name="RedFlag_131" localSheetId="2">#REF!</definedName>
    <definedName name="RedFlag_131" localSheetId="3">#REF!</definedName>
    <definedName name="RedFlag_131" localSheetId="4">#REF!</definedName>
    <definedName name="RedFlag_131" localSheetId="5">#REF!</definedName>
    <definedName name="RedFlag_131" localSheetId="6">#REF!</definedName>
    <definedName name="RedFlag_131" localSheetId="7">#REF!</definedName>
    <definedName name="RedFlag_131" localSheetId="9">#REF!</definedName>
    <definedName name="RedFlag_131" localSheetId="12">#REF!</definedName>
    <definedName name="RedFlag_131">#REF!</definedName>
    <definedName name="RedFlag_132" localSheetId="13">#REF!</definedName>
    <definedName name="RedFlag_132" localSheetId="14">#REF!</definedName>
    <definedName name="RedFlag_132" localSheetId="1">#REF!</definedName>
    <definedName name="RedFlag_132" localSheetId="10">#REF!</definedName>
    <definedName name="RedFlag_132" localSheetId="2">#REF!</definedName>
    <definedName name="RedFlag_132" localSheetId="3">#REF!</definedName>
    <definedName name="RedFlag_132" localSheetId="4">#REF!</definedName>
    <definedName name="RedFlag_132" localSheetId="5">#REF!</definedName>
    <definedName name="RedFlag_132" localSheetId="6">#REF!</definedName>
    <definedName name="RedFlag_132" localSheetId="7">#REF!</definedName>
    <definedName name="RedFlag_132" localSheetId="9">#REF!</definedName>
    <definedName name="RedFlag_132" localSheetId="12">#REF!</definedName>
    <definedName name="RedFlag_132">#REF!</definedName>
    <definedName name="RedFlag_133" localSheetId="13">#REF!</definedName>
    <definedName name="RedFlag_133" localSheetId="14">#REF!</definedName>
    <definedName name="RedFlag_133" localSheetId="1">#REF!</definedName>
    <definedName name="RedFlag_133" localSheetId="10">#REF!</definedName>
    <definedName name="RedFlag_133" localSheetId="2">#REF!</definedName>
    <definedName name="RedFlag_133" localSheetId="3">#REF!</definedName>
    <definedName name="RedFlag_133" localSheetId="4">#REF!</definedName>
    <definedName name="RedFlag_133" localSheetId="5">#REF!</definedName>
    <definedName name="RedFlag_133" localSheetId="6">#REF!</definedName>
    <definedName name="RedFlag_133" localSheetId="7">#REF!</definedName>
    <definedName name="RedFlag_133" localSheetId="9">#REF!</definedName>
    <definedName name="RedFlag_133" localSheetId="12">#REF!</definedName>
    <definedName name="RedFlag_133">#REF!</definedName>
    <definedName name="RedFlag_134" localSheetId="13">#REF!</definedName>
    <definedName name="RedFlag_134" localSheetId="14">#REF!</definedName>
    <definedName name="RedFlag_134" localSheetId="1">#REF!</definedName>
    <definedName name="RedFlag_134" localSheetId="10">#REF!</definedName>
    <definedName name="RedFlag_134" localSheetId="2">#REF!</definedName>
    <definedName name="RedFlag_134" localSheetId="3">#REF!</definedName>
    <definedName name="RedFlag_134" localSheetId="4">#REF!</definedName>
    <definedName name="RedFlag_134" localSheetId="5">#REF!</definedName>
    <definedName name="RedFlag_134" localSheetId="6">#REF!</definedName>
    <definedName name="RedFlag_134" localSheetId="7">#REF!</definedName>
    <definedName name="RedFlag_134" localSheetId="9">#REF!</definedName>
    <definedName name="RedFlag_134" localSheetId="12">#REF!</definedName>
    <definedName name="RedFlag_134">#REF!</definedName>
    <definedName name="RedFlag_135" localSheetId="13">#REF!</definedName>
    <definedName name="RedFlag_135" localSheetId="14">#REF!</definedName>
    <definedName name="RedFlag_135" localSheetId="1">#REF!</definedName>
    <definedName name="RedFlag_135" localSheetId="10">#REF!</definedName>
    <definedName name="RedFlag_135" localSheetId="2">#REF!</definedName>
    <definedName name="RedFlag_135" localSheetId="3">#REF!</definedName>
    <definedName name="RedFlag_135" localSheetId="4">#REF!</definedName>
    <definedName name="RedFlag_135" localSheetId="5">#REF!</definedName>
    <definedName name="RedFlag_135" localSheetId="6">#REF!</definedName>
    <definedName name="RedFlag_135" localSheetId="7">#REF!</definedName>
    <definedName name="RedFlag_135" localSheetId="9">#REF!</definedName>
    <definedName name="RedFlag_135" localSheetId="12">#REF!</definedName>
    <definedName name="RedFlag_135">#REF!</definedName>
    <definedName name="RedFlag_136" localSheetId="13">#REF!</definedName>
    <definedName name="RedFlag_136" localSheetId="14">#REF!</definedName>
    <definedName name="RedFlag_136" localSheetId="1">#REF!</definedName>
    <definedName name="RedFlag_136" localSheetId="10">#REF!</definedName>
    <definedName name="RedFlag_136" localSheetId="2">#REF!</definedName>
    <definedName name="RedFlag_136" localSheetId="3">#REF!</definedName>
    <definedName name="RedFlag_136" localSheetId="4">#REF!</definedName>
    <definedName name="RedFlag_136" localSheetId="5">#REF!</definedName>
    <definedName name="RedFlag_136" localSheetId="6">#REF!</definedName>
    <definedName name="RedFlag_136" localSheetId="7">#REF!</definedName>
    <definedName name="RedFlag_136" localSheetId="9">#REF!</definedName>
    <definedName name="RedFlag_136" localSheetId="12">#REF!</definedName>
    <definedName name="RedFlag_136">#REF!</definedName>
    <definedName name="RedFlag_137" localSheetId="13">#REF!</definedName>
    <definedName name="RedFlag_137" localSheetId="14">#REF!</definedName>
    <definedName name="RedFlag_137" localSheetId="1">#REF!</definedName>
    <definedName name="RedFlag_137" localSheetId="10">#REF!</definedName>
    <definedName name="RedFlag_137" localSheetId="2">#REF!</definedName>
    <definedName name="RedFlag_137" localSheetId="3">#REF!</definedName>
    <definedName name="RedFlag_137" localSheetId="4">#REF!</definedName>
    <definedName name="RedFlag_137" localSheetId="5">#REF!</definedName>
    <definedName name="RedFlag_137" localSheetId="6">#REF!</definedName>
    <definedName name="RedFlag_137" localSheetId="7">#REF!</definedName>
    <definedName name="RedFlag_137" localSheetId="9">#REF!</definedName>
    <definedName name="RedFlag_137" localSheetId="12">#REF!</definedName>
    <definedName name="RedFlag_137">#REF!</definedName>
    <definedName name="RedFlag_138" localSheetId="13">#REF!</definedName>
    <definedName name="RedFlag_138" localSheetId="14">#REF!</definedName>
    <definedName name="RedFlag_138" localSheetId="1">#REF!</definedName>
    <definedName name="RedFlag_138" localSheetId="10">#REF!</definedName>
    <definedName name="RedFlag_138" localSheetId="2">#REF!</definedName>
    <definedName name="RedFlag_138" localSheetId="3">#REF!</definedName>
    <definedName name="RedFlag_138" localSheetId="4">#REF!</definedName>
    <definedName name="RedFlag_138" localSheetId="5">#REF!</definedName>
    <definedName name="RedFlag_138" localSheetId="6">#REF!</definedName>
    <definedName name="RedFlag_138" localSheetId="7">#REF!</definedName>
    <definedName name="RedFlag_138" localSheetId="9">#REF!</definedName>
    <definedName name="RedFlag_138" localSheetId="12">#REF!</definedName>
    <definedName name="RedFlag_138">#REF!</definedName>
    <definedName name="RedFlag_139" localSheetId="13">#REF!</definedName>
    <definedName name="RedFlag_139" localSheetId="14">#REF!</definedName>
    <definedName name="RedFlag_139" localSheetId="1">#REF!</definedName>
    <definedName name="RedFlag_139" localSheetId="10">#REF!</definedName>
    <definedName name="RedFlag_139" localSheetId="2">#REF!</definedName>
    <definedName name="RedFlag_139" localSheetId="3">#REF!</definedName>
    <definedName name="RedFlag_139" localSheetId="4">#REF!</definedName>
    <definedName name="RedFlag_139" localSheetId="5">#REF!</definedName>
    <definedName name="RedFlag_139" localSheetId="6">#REF!</definedName>
    <definedName name="RedFlag_139" localSheetId="7">#REF!</definedName>
    <definedName name="RedFlag_139" localSheetId="9">#REF!</definedName>
    <definedName name="RedFlag_139" localSheetId="12">#REF!</definedName>
    <definedName name="RedFlag_139">#REF!</definedName>
    <definedName name="RedFlag_14" localSheetId="13">#REF!</definedName>
    <definedName name="RedFlag_14" localSheetId="14">#REF!</definedName>
    <definedName name="RedFlag_14" localSheetId="1">#REF!</definedName>
    <definedName name="RedFlag_14" localSheetId="10">#REF!</definedName>
    <definedName name="RedFlag_14" localSheetId="2">#REF!</definedName>
    <definedName name="RedFlag_14" localSheetId="3">#REF!</definedName>
    <definedName name="RedFlag_14" localSheetId="4">#REF!</definedName>
    <definedName name="RedFlag_14" localSheetId="5">#REF!</definedName>
    <definedName name="RedFlag_14" localSheetId="6">#REF!</definedName>
    <definedName name="RedFlag_14" localSheetId="7">#REF!</definedName>
    <definedName name="RedFlag_14" localSheetId="9">#REF!</definedName>
    <definedName name="RedFlag_14" localSheetId="12">#REF!</definedName>
    <definedName name="RedFlag_14">#REF!</definedName>
    <definedName name="RedFlag_140" localSheetId="13">#REF!</definedName>
    <definedName name="RedFlag_140" localSheetId="14">#REF!</definedName>
    <definedName name="RedFlag_140" localSheetId="1">#REF!</definedName>
    <definedName name="RedFlag_140" localSheetId="10">#REF!</definedName>
    <definedName name="RedFlag_140" localSheetId="2">#REF!</definedName>
    <definedName name="RedFlag_140" localSheetId="3">#REF!</definedName>
    <definedName name="RedFlag_140" localSheetId="4">#REF!</definedName>
    <definedName name="RedFlag_140" localSheetId="5">#REF!</definedName>
    <definedName name="RedFlag_140" localSheetId="6">#REF!</definedName>
    <definedName name="RedFlag_140" localSheetId="7">#REF!</definedName>
    <definedName name="RedFlag_140" localSheetId="9">#REF!</definedName>
    <definedName name="RedFlag_140" localSheetId="12">#REF!</definedName>
    <definedName name="RedFlag_140">#REF!</definedName>
    <definedName name="RedFlag_141" localSheetId="13">#REF!</definedName>
    <definedName name="RedFlag_141" localSheetId="14">#REF!</definedName>
    <definedName name="RedFlag_141" localSheetId="1">#REF!</definedName>
    <definedName name="RedFlag_141" localSheetId="10">#REF!</definedName>
    <definedName name="RedFlag_141" localSheetId="2">#REF!</definedName>
    <definedName name="RedFlag_141" localSheetId="3">#REF!</definedName>
    <definedName name="RedFlag_141" localSheetId="4">#REF!</definedName>
    <definedName name="RedFlag_141" localSheetId="5">#REF!</definedName>
    <definedName name="RedFlag_141" localSheetId="6">#REF!</definedName>
    <definedName name="RedFlag_141" localSheetId="7">#REF!</definedName>
    <definedName name="RedFlag_141" localSheetId="9">#REF!</definedName>
    <definedName name="RedFlag_141" localSheetId="12">#REF!</definedName>
    <definedName name="RedFlag_141">#REF!</definedName>
    <definedName name="RedFlag_142" localSheetId="13">#REF!</definedName>
    <definedName name="RedFlag_142" localSheetId="14">#REF!</definedName>
    <definedName name="RedFlag_142" localSheetId="1">#REF!</definedName>
    <definedName name="RedFlag_142" localSheetId="10">#REF!</definedName>
    <definedName name="RedFlag_142" localSheetId="2">#REF!</definedName>
    <definedName name="RedFlag_142" localSheetId="3">#REF!</definedName>
    <definedName name="RedFlag_142" localSheetId="4">#REF!</definedName>
    <definedName name="RedFlag_142" localSheetId="5">#REF!</definedName>
    <definedName name="RedFlag_142" localSheetId="6">#REF!</definedName>
    <definedName name="RedFlag_142" localSheetId="7">#REF!</definedName>
    <definedName name="RedFlag_142" localSheetId="9">#REF!</definedName>
    <definedName name="RedFlag_142" localSheetId="12">#REF!</definedName>
    <definedName name="RedFlag_142">#REF!</definedName>
    <definedName name="RedFlag_143" localSheetId="13">#REF!</definedName>
    <definedName name="RedFlag_143" localSheetId="14">#REF!</definedName>
    <definedName name="RedFlag_143" localSheetId="1">#REF!</definedName>
    <definedName name="RedFlag_143" localSheetId="10">#REF!</definedName>
    <definedName name="RedFlag_143" localSheetId="2">#REF!</definedName>
    <definedName name="RedFlag_143" localSheetId="3">#REF!</definedName>
    <definedName name="RedFlag_143" localSheetId="4">#REF!</definedName>
    <definedName name="RedFlag_143" localSheetId="5">#REF!</definedName>
    <definedName name="RedFlag_143" localSheetId="6">#REF!</definedName>
    <definedName name="RedFlag_143" localSheetId="7">#REF!</definedName>
    <definedName name="RedFlag_143" localSheetId="9">#REF!</definedName>
    <definedName name="RedFlag_143" localSheetId="12">#REF!</definedName>
    <definedName name="RedFlag_143">#REF!</definedName>
    <definedName name="RedFlag_144" localSheetId="13">#REF!</definedName>
    <definedName name="RedFlag_144" localSheetId="14">#REF!</definedName>
    <definedName name="RedFlag_144" localSheetId="1">#REF!</definedName>
    <definedName name="RedFlag_144" localSheetId="10">#REF!</definedName>
    <definedName name="RedFlag_144" localSheetId="2">#REF!</definedName>
    <definedName name="RedFlag_144" localSheetId="3">#REF!</definedName>
    <definedName name="RedFlag_144" localSheetId="4">#REF!</definedName>
    <definedName name="RedFlag_144" localSheetId="5">#REF!</definedName>
    <definedName name="RedFlag_144" localSheetId="6">#REF!</definedName>
    <definedName name="RedFlag_144" localSheetId="7">#REF!</definedName>
    <definedName name="RedFlag_144" localSheetId="9">#REF!</definedName>
    <definedName name="RedFlag_144" localSheetId="12">#REF!</definedName>
    <definedName name="RedFlag_144">#REF!</definedName>
    <definedName name="RedFlag_145" localSheetId="13">#REF!</definedName>
    <definedName name="RedFlag_145" localSheetId="14">#REF!</definedName>
    <definedName name="RedFlag_145" localSheetId="1">#REF!</definedName>
    <definedName name="RedFlag_145" localSheetId="10">#REF!</definedName>
    <definedName name="RedFlag_145" localSheetId="2">#REF!</definedName>
    <definedName name="RedFlag_145" localSheetId="3">#REF!</definedName>
    <definedName name="RedFlag_145" localSheetId="4">#REF!</definedName>
    <definedName name="RedFlag_145" localSheetId="5">#REF!</definedName>
    <definedName name="RedFlag_145" localSheetId="6">#REF!</definedName>
    <definedName name="RedFlag_145" localSheetId="7">#REF!</definedName>
    <definedName name="RedFlag_145" localSheetId="9">#REF!</definedName>
    <definedName name="RedFlag_145" localSheetId="12">#REF!</definedName>
    <definedName name="RedFlag_145">#REF!</definedName>
    <definedName name="RedFlag_146" localSheetId="13">#REF!</definedName>
    <definedName name="RedFlag_146" localSheetId="14">#REF!</definedName>
    <definedName name="RedFlag_146" localSheetId="1">#REF!</definedName>
    <definedName name="RedFlag_146" localSheetId="10">#REF!</definedName>
    <definedName name="RedFlag_146" localSheetId="2">#REF!</definedName>
    <definedName name="RedFlag_146" localSheetId="3">#REF!</definedName>
    <definedName name="RedFlag_146" localSheetId="4">#REF!</definedName>
    <definedName name="RedFlag_146" localSheetId="5">#REF!</definedName>
    <definedName name="RedFlag_146" localSheetId="6">#REF!</definedName>
    <definedName name="RedFlag_146" localSheetId="7">#REF!</definedName>
    <definedName name="RedFlag_146" localSheetId="9">#REF!</definedName>
    <definedName name="RedFlag_146" localSheetId="12">#REF!</definedName>
    <definedName name="RedFlag_146">#REF!</definedName>
    <definedName name="RedFlag_147" localSheetId="13">#REF!</definedName>
    <definedName name="RedFlag_147" localSheetId="14">#REF!</definedName>
    <definedName name="RedFlag_147" localSheetId="1">#REF!</definedName>
    <definedName name="RedFlag_147" localSheetId="10">#REF!</definedName>
    <definedName name="RedFlag_147" localSheetId="2">#REF!</definedName>
    <definedName name="RedFlag_147" localSheetId="3">#REF!</definedName>
    <definedName name="RedFlag_147" localSheetId="4">#REF!</definedName>
    <definedName name="RedFlag_147" localSheetId="5">#REF!</definedName>
    <definedName name="RedFlag_147" localSheetId="6">#REF!</definedName>
    <definedName name="RedFlag_147" localSheetId="7">#REF!</definedName>
    <definedName name="RedFlag_147" localSheetId="9">#REF!</definedName>
    <definedName name="RedFlag_147" localSheetId="12">#REF!</definedName>
    <definedName name="RedFlag_147">#REF!</definedName>
    <definedName name="RedFlag_148" localSheetId="13">#REF!</definedName>
    <definedName name="RedFlag_148" localSheetId="14">#REF!</definedName>
    <definedName name="RedFlag_148" localSheetId="1">#REF!</definedName>
    <definedName name="RedFlag_148" localSheetId="10">#REF!</definedName>
    <definedName name="RedFlag_148" localSheetId="2">#REF!</definedName>
    <definedName name="RedFlag_148" localSheetId="3">#REF!</definedName>
    <definedName name="RedFlag_148" localSheetId="4">#REF!</definedName>
    <definedName name="RedFlag_148" localSheetId="5">#REF!</definedName>
    <definedName name="RedFlag_148" localSheetId="6">#REF!</definedName>
    <definedName name="RedFlag_148" localSheetId="7">#REF!</definedName>
    <definedName name="RedFlag_148" localSheetId="9">#REF!</definedName>
    <definedName name="RedFlag_148" localSheetId="12">#REF!</definedName>
    <definedName name="RedFlag_148">#REF!</definedName>
    <definedName name="RedFlag_15" localSheetId="13">#REF!</definedName>
    <definedName name="RedFlag_15" localSheetId="14">#REF!</definedName>
    <definedName name="RedFlag_15" localSheetId="1">#REF!</definedName>
    <definedName name="RedFlag_15" localSheetId="10">#REF!</definedName>
    <definedName name="RedFlag_15" localSheetId="2">#REF!</definedName>
    <definedName name="RedFlag_15" localSheetId="3">#REF!</definedName>
    <definedName name="RedFlag_15" localSheetId="4">#REF!</definedName>
    <definedName name="RedFlag_15" localSheetId="5">#REF!</definedName>
    <definedName name="RedFlag_15" localSheetId="6">#REF!</definedName>
    <definedName name="RedFlag_15" localSheetId="7">#REF!</definedName>
    <definedName name="RedFlag_15" localSheetId="9">#REF!</definedName>
    <definedName name="RedFlag_15" localSheetId="12">#REF!</definedName>
    <definedName name="RedFlag_15">#REF!</definedName>
    <definedName name="RedFlag_16" localSheetId="13">#REF!</definedName>
    <definedName name="RedFlag_16" localSheetId="14">#REF!</definedName>
    <definedName name="RedFlag_16" localSheetId="1">#REF!</definedName>
    <definedName name="RedFlag_16" localSheetId="10">#REF!</definedName>
    <definedName name="RedFlag_16" localSheetId="2">#REF!</definedName>
    <definedName name="RedFlag_16" localSheetId="3">#REF!</definedName>
    <definedName name="RedFlag_16" localSheetId="4">#REF!</definedName>
    <definedName name="RedFlag_16" localSheetId="5">#REF!</definedName>
    <definedName name="RedFlag_16" localSheetId="6">#REF!</definedName>
    <definedName name="RedFlag_16" localSheetId="7">#REF!</definedName>
    <definedName name="RedFlag_16" localSheetId="9">#REF!</definedName>
    <definedName name="RedFlag_16" localSheetId="12">#REF!</definedName>
    <definedName name="RedFlag_16">#REF!</definedName>
    <definedName name="RedFlag_17" localSheetId="13">#REF!</definedName>
    <definedName name="RedFlag_17" localSheetId="14">#REF!</definedName>
    <definedName name="RedFlag_17" localSheetId="1">#REF!</definedName>
    <definedName name="RedFlag_17" localSheetId="10">#REF!</definedName>
    <definedName name="RedFlag_17" localSheetId="2">#REF!</definedName>
    <definedName name="RedFlag_17" localSheetId="3">#REF!</definedName>
    <definedName name="RedFlag_17" localSheetId="4">#REF!</definedName>
    <definedName name="RedFlag_17" localSheetId="5">#REF!</definedName>
    <definedName name="RedFlag_17" localSheetId="6">#REF!</definedName>
    <definedName name="RedFlag_17" localSheetId="7">#REF!</definedName>
    <definedName name="RedFlag_17" localSheetId="9">#REF!</definedName>
    <definedName name="RedFlag_17" localSheetId="12">#REF!</definedName>
    <definedName name="RedFlag_17">#REF!</definedName>
    <definedName name="RedFlag_18" localSheetId="13">#REF!</definedName>
    <definedName name="RedFlag_18" localSheetId="14">#REF!</definedName>
    <definedName name="RedFlag_18" localSheetId="1">#REF!</definedName>
    <definedName name="RedFlag_18" localSheetId="10">#REF!</definedName>
    <definedName name="RedFlag_18" localSheetId="2">#REF!</definedName>
    <definedName name="RedFlag_18" localSheetId="3">#REF!</definedName>
    <definedName name="RedFlag_18" localSheetId="4">#REF!</definedName>
    <definedName name="RedFlag_18" localSheetId="5">#REF!</definedName>
    <definedName name="RedFlag_18" localSheetId="6">#REF!</definedName>
    <definedName name="RedFlag_18" localSheetId="7">#REF!</definedName>
    <definedName name="RedFlag_18" localSheetId="9">#REF!</definedName>
    <definedName name="RedFlag_18" localSheetId="12">#REF!</definedName>
    <definedName name="RedFlag_18">#REF!</definedName>
    <definedName name="RedFlag_185" localSheetId="13">#REF!</definedName>
    <definedName name="RedFlag_185" localSheetId="14">#REF!</definedName>
    <definedName name="RedFlag_185" localSheetId="1">#REF!</definedName>
    <definedName name="RedFlag_185" localSheetId="10">#REF!</definedName>
    <definedName name="RedFlag_185" localSheetId="2">#REF!</definedName>
    <definedName name="RedFlag_185" localSheetId="3">#REF!</definedName>
    <definedName name="RedFlag_185" localSheetId="4">#REF!</definedName>
    <definedName name="RedFlag_185" localSheetId="5">#REF!</definedName>
    <definedName name="RedFlag_185" localSheetId="6">#REF!</definedName>
    <definedName name="RedFlag_185" localSheetId="7">#REF!</definedName>
    <definedName name="RedFlag_185" localSheetId="9">#REF!</definedName>
    <definedName name="RedFlag_185" localSheetId="12">#REF!</definedName>
    <definedName name="RedFlag_185">#REF!</definedName>
    <definedName name="RedFlag_186" localSheetId="13">#REF!</definedName>
    <definedName name="RedFlag_186" localSheetId="14">#REF!</definedName>
    <definedName name="RedFlag_186" localSheetId="1">#REF!</definedName>
    <definedName name="RedFlag_186" localSheetId="10">#REF!</definedName>
    <definedName name="RedFlag_186" localSheetId="2">#REF!</definedName>
    <definedName name="RedFlag_186" localSheetId="3">#REF!</definedName>
    <definedName name="RedFlag_186" localSheetId="4">#REF!</definedName>
    <definedName name="RedFlag_186" localSheetId="5">#REF!</definedName>
    <definedName name="RedFlag_186" localSheetId="6">#REF!</definedName>
    <definedName name="RedFlag_186" localSheetId="7">#REF!</definedName>
    <definedName name="RedFlag_186" localSheetId="9">#REF!</definedName>
    <definedName name="RedFlag_186" localSheetId="12">#REF!</definedName>
    <definedName name="RedFlag_186">#REF!</definedName>
    <definedName name="RedFlag_187" localSheetId="13">#REF!</definedName>
    <definedName name="RedFlag_187" localSheetId="14">#REF!</definedName>
    <definedName name="RedFlag_187" localSheetId="1">#REF!</definedName>
    <definedName name="RedFlag_187" localSheetId="10">#REF!</definedName>
    <definedName name="RedFlag_187" localSheetId="2">#REF!</definedName>
    <definedName name="RedFlag_187" localSheetId="3">#REF!</definedName>
    <definedName name="RedFlag_187" localSheetId="4">#REF!</definedName>
    <definedName name="RedFlag_187" localSheetId="5">#REF!</definedName>
    <definedName name="RedFlag_187" localSheetId="6">#REF!</definedName>
    <definedName name="RedFlag_187" localSheetId="7">#REF!</definedName>
    <definedName name="RedFlag_187" localSheetId="9">#REF!</definedName>
    <definedName name="RedFlag_187" localSheetId="12">#REF!</definedName>
    <definedName name="RedFlag_187">#REF!</definedName>
    <definedName name="RedFlag_188" localSheetId="13">#REF!</definedName>
    <definedName name="RedFlag_188" localSheetId="14">#REF!</definedName>
    <definedName name="RedFlag_188" localSheetId="1">#REF!</definedName>
    <definedName name="RedFlag_188" localSheetId="10">#REF!</definedName>
    <definedName name="RedFlag_188" localSheetId="2">#REF!</definedName>
    <definedName name="RedFlag_188" localSheetId="3">#REF!</definedName>
    <definedName name="RedFlag_188" localSheetId="4">#REF!</definedName>
    <definedName name="RedFlag_188" localSheetId="5">#REF!</definedName>
    <definedName name="RedFlag_188" localSheetId="6">#REF!</definedName>
    <definedName name="RedFlag_188" localSheetId="7">#REF!</definedName>
    <definedName name="RedFlag_188" localSheetId="9">#REF!</definedName>
    <definedName name="RedFlag_188" localSheetId="12">#REF!</definedName>
    <definedName name="RedFlag_188">#REF!</definedName>
    <definedName name="RedFlag_189" localSheetId="13">#REF!</definedName>
    <definedName name="RedFlag_189" localSheetId="14">#REF!</definedName>
    <definedName name="RedFlag_189" localSheetId="1">#REF!</definedName>
    <definedName name="RedFlag_189" localSheetId="10">#REF!</definedName>
    <definedName name="RedFlag_189" localSheetId="2">#REF!</definedName>
    <definedName name="RedFlag_189" localSheetId="3">#REF!</definedName>
    <definedName name="RedFlag_189" localSheetId="4">#REF!</definedName>
    <definedName name="RedFlag_189" localSheetId="5">#REF!</definedName>
    <definedName name="RedFlag_189" localSheetId="6">#REF!</definedName>
    <definedName name="RedFlag_189" localSheetId="7">#REF!</definedName>
    <definedName name="RedFlag_189" localSheetId="9">#REF!</definedName>
    <definedName name="RedFlag_189" localSheetId="12">#REF!</definedName>
    <definedName name="RedFlag_189">#REF!</definedName>
    <definedName name="RedFlag_19" localSheetId="13">#REF!</definedName>
    <definedName name="RedFlag_19" localSheetId="14">#REF!</definedName>
    <definedName name="RedFlag_19" localSheetId="1">#REF!</definedName>
    <definedName name="RedFlag_19" localSheetId="10">#REF!</definedName>
    <definedName name="RedFlag_19" localSheetId="2">#REF!</definedName>
    <definedName name="RedFlag_19" localSheetId="3">#REF!</definedName>
    <definedName name="RedFlag_19" localSheetId="4">#REF!</definedName>
    <definedName name="RedFlag_19" localSheetId="5">#REF!</definedName>
    <definedName name="RedFlag_19" localSheetId="6">#REF!</definedName>
    <definedName name="RedFlag_19" localSheetId="7">#REF!</definedName>
    <definedName name="RedFlag_19" localSheetId="9">#REF!</definedName>
    <definedName name="RedFlag_19" localSheetId="12">#REF!</definedName>
    <definedName name="RedFlag_19">#REF!</definedName>
    <definedName name="RedFlag_190" localSheetId="13">#REF!</definedName>
    <definedName name="RedFlag_190" localSheetId="14">#REF!</definedName>
    <definedName name="RedFlag_190" localSheetId="1">#REF!</definedName>
    <definedName name="RedFlag_190" localSheetId="10">#REF!</definedName>
    <definedName name="RedFlag_190" localSheetId="2">#REF!</definedName>
    <definedName name="RedFlag_190" localSheetId="3">#REF!</definedName>
    <definedName name="RedFlag_190" localSheetId="4">#REF!</definedName>
    <definedName name="RedFlag_190" localSheetId="5">#REF!</definedName>
    <definedName name="RedFlag_190" localSheetId="6">#REF!</definedName>
    <definedName name="RedFlag_190" localSheetId="7">#REF!</definedName>
    <definedName name="RedFlag_190" localSheetId="9">#REF!</definedName>
    <definedName name="RedFlag_190" localSheetId="12">#REF!</definedName>
    <definedName name="RedFlag_190">#REF!</definedName>
    <definedName name="RedFlag_191" localSheetId="13">#REF!</definedName>
    <definedName name="RedFlag_191" localSheetId="14">#REF!</definedName>
    <definedName name="RedFlag_191" localSheetId="1">#REF!</definedName>
    <definedName name="RedFlag_191" localSheetId="10">#REF!</definedName>
    <definedName name="RedFlag_191" localSheetId="2">#REF!</definedName>
    <definedName name="RedFlag_191" localSheetId="3">#REF!</definedName>
    <definedName name="RedFlag_191" localSheetId="4">#REF!</definedName>
    <definedName name="RedFlag_191" localSheetId="5">#REF!</definedName>
    <definedName name="RedFlag_191" localSheetId="6">#REF!</definedName>
    <definedName name="RedFlag_191" localSheetId="7">#REF!</definedName>
    <definedName name="RedFlag_191" localSheetId="9">#REF!</definedName>
    <definedName name="RedFlag_191" localSheetId="12">#REF!</definedName>
    <definedName name="RedFlag_191">#REF!</definedName>
    <definedName name="RedFlag_192" localSheetId="13">#REF!</definedName>
    <definedName name="RedFlag_192" localSheetId="14">#REF!</definedName>
    <definedName name="RedFlag_192" localSheetId="1">#REF!</definedName>
    <definedName name="RedFlag_192" localSheetId="10">#REF!</definedName>
    <definedName name="RedFlag_192" localSheetId="2">#REF!</definedName>
    <definedName name="RedFlag_192" localSheetId="3">#REF!</definedName>
    <definedName name="RedFlag_192" localSheetId="4">#REF!</definedName>
    <definedName name="RedFlag_192" localSheetId="5">#REF!</definedName>
    <definedName name="RedFlag_192" localSheetId="6">#REF!</definedName>
    <definedName name="RedFlag_192" localSheetId="7">#REF!</definedName>
    <definedName name="RedFlag_192" localSheetId="9">#REF!</definedName>
    <definedName name="RedFlag_192" localSheetId="12">#REF!</definedName>
    <definedName name="RedFlag_192">#REF!</definedName>
    <definedName name="RedFlag_193" localSheetId="13">#REF!</definedName>
    <definedName name="RedFlag_193" localSheetId="14">#REF!</definedName>
    <definedName name="RedFlag_193" localSheetId="1">#REF!</definedName>
    <definedName name="RedFlag_193" localSheetId="10">#REF!</definedName>
    <definedName name="RedFlag_193" localSheetId="2">#REF!</definedName>
    <definedName name="RedFlag_193" localSheetId="3">#REF!</definedName>
    <definedName name="RedFlag_193" localSheetId="4">#REF!</definedName>
    <definedName name="RedFlag_193" localSheetId="5">#REF!</definedName>
    <definedName name="RedFlag_193" localSheetId="6">#REF!</definedName>
    <definedName name="RedFlag_193" localSheetId="7">#REF!</definedName>
    <definedName name="RedFlag_193" localSheetId="9">#REF!</definedName>
    <definedName name="RedFlag_193" localSheetId="12">#REF!</definedName>
    <definedName name="RedFlag_193">#REF!</definedName>
    <definedName name="RedFlag_194" localSheetId="13">#REF!</definedName>
    <definedName name="RedFlag_194" localSheetId="14">#REF!</definedName>
    <definedName name="RedFlag_194" localSheetId="1">#REF!</definedName>
    <definedName name="RedFlag_194" localSheetId="10">#REF!</definedName>
    <definedName name="RedFlag_194" localSheetId="2">#REF!</definedName>
    <definedName name="RedFlag_194" localSheetId="3">#REF!</definedName>
    <definedName name="RedFlag_194" localSheetId="4">#REF!</definedName>
    <definedName name="RedFlag_194" localSheetId="5">#REF!</definedName>
    <definedName name="RedFlag_194" localSheetId="6">#REF!</definedName>
    <definedName name="RedFlag_194" localSheetId="7">#REF!</definedName>
    <definedName name="RedFlag_194" localSheetId="9">#REF!</definedName>
    <definedName name="RedFlag_194" localSheetId="12">#REF!</definedName>
    <definedName name="RedFlag_194">#REF!</definedName>
    <definedName name="RedFlag_195" localSheetId="13">#REF!</definedName>
    <definedName name="RedFlag_195" localSheetId="14">#REF!</definedName>
    <definedName name="RedFlag_195" localSheetId="1">#REF!</definedName>
    <definedName name="RedFlag_195" localSheetId="10">#REF!</definedName>
    <definedName name="RedFlag_195" localSheetId="2">#REF!</definedName>
    <definedName name="RedFlag_195" localSheetId="3">#REF!</definedName>
    <definedName name="RedFlag_195" localSheetId="4">#REF!</definedName>
    <definedName name="RedFlag_195" localSheetId="5">#REF!</definedName>
    <definedName name="RedFlag_195" localSheetId="6">#REF!</definedName>
    <definedName name="RedFlag_195" localSheetId="7">#REF!</definedName>
    <definedName name="RedFlag_195" localSheetId="9">#REF!</definedName>
    <definedName name="RedFlag_195" localSheetId="12">#REF!</definedName>
    <definedName name="RedFlag_195">#REF!</definedName>
    <definedName name="RedFlag_196" localSheetId="13">#REF!</definedName>
    <definedName name="RedFlag_196" localSheetId="14">#REF!</definedName>
    <definedName name="RedFlag_196" localSheetId="1">#REF!</definedName>
    <definedName name="RedFlag_196" localSheetId="10">#REF!</definedName>
    <definedName name="RedFlag_196" localSheetId="2">#REF!</definedName>
    <definedName name="RedFlag_196" localSheetId="3">#REF!</definedName>
    <definedName name="RedFlag_196" localSheetId="4">#REF!</definedName>
    <definedName name="RedFlag_196" localSheetId="5">#REF!</definedName>
    <definedName name="RedFlag_196" localSheetId="6">#REF!</definedName>
    <definedName name="RedFlag_196" localSheetId="7">#REF!</definedName>
    <definedName name="RedFlag_196" localSheetId="9">#REF!</definedName>
    <definedName name="RedFlag_196" localSheetId="12">#REF!</definedName>
    <definedName name="RedFlag_196">#REF!</definedName>
    <definedName name="RedFlag_197" localSheetId="13">#REF!</definedName>
    <definedName name="RedFlag_197" localSheetId="14">#REF!</definedName>
    <definedName name="RedFlag_197" localSheetId="1">#REF!</definedName>
    <definedName name="RedFlag_197" localSheetId="10">#REF!</definedName>
    <definedName name="RedFlag_197" localSheetId="2">#REF!</definedName>
    <definedName name="RedFlag_197" localSheetId="3">#REF!</definedName>
    <definedName name="RedFlag_197" localSheetId="4">#REF!</definedName>
    <definedName name="RedFlag_197" localSheetId="5">#REF!</definedName>
    <definedName name="RedFlag_197" localSheetId="6">#REF!</definedName>
    <definedName name="RedFlag_197" localSheetId="7">#REF!</definedName>
    <definedName name="RedFlag_197" localSheetId="9">#REF!</definedName>
    <definedName name="RedFlag_197" localSheetId="12">#REF!</definedName>
    <definedName name="RedFlag_197">#REF!</definedName>
    <definedName name="RedFlag_198" localSheetId="13">#REF!</definedName>
    <definedName name="RedFlag_198" localSheetId="14">#REF!</definedName>
    <definedName name="RedFlag_198" localSheetId="1">#REF!</definedName>
    <definedName name="RedFlag_198" localSheetId="10">#REF!</definedName>
    <definedName name="RedFlag_198" localSheetId="2">#REF!</definedName>
    <definedName name="RedFlag_198" localSheetId="3">#REF!</definedName>
    <definedName name="RedFlag_198" localSheetId="4">#REF!</definedName>
    <definedName name="RedFlag_198" localSheetId="5">#REF!</definedName>
    <definedName name="RedFlag_198" localSheetId="6">#REF!</definedName>
    <definedName name="RedFlag_198" localSheetId="7">#REF!</definedName>
    <definedName name="RedFlag_198" localSheetId="9">#REF!</definedName>
    <definedName name="RedFlag_198" localSheetId="12">#REF!</definedName>
    <definedName name="RedFlag_198">#REF!</definedName>
    <definedName name="RedFlag_199" localSheetId="13">#REF!</definedName>
    <definedName name="RedFlag_199" localSheetId="14">#REF!</definedName>
    <definedName name="RedFlag_199" localSheetId="1">#REF!</definedName>
    <definedName name="RedFlag_199" localSheetId="10">#REF!</definedName>
    <definedName name="RedFlag_199" localSheetId="2">#REF!</definedName>
    <definedName name="RedFlag_199" localSheetId="3">#REF!</definedName>
    <definedName name="RedFlag_199" localSheetId="4">#REF!</definedName>
    <definedName name="RedFlag_199" localSheetId="5">#REF!</definedName>
    <definedName name="RedFlag_199" localSheetId="6">#REF!</definedName>
    <definedName name="RedFlag_199" localSheetId="7">#REF!</definedName>
    <definedName name="RedFlag_199" localSheetId="9">#REF!</definedName>
    <definedName name="RedFlag_199" localSheetId="12">#REF!</definedName>
    <definedName name="RedFlag_199">#REF!</definedName>
    <definedName name="RedFlag_2" localSheetId="13">#REF!</definedName>
    <definedName name="RedFlag_2" localSheetId="14">#REF!</definedName>
    <definedName name="RedFlag_2" localSheetId="1">#REF!</definedName>
    <definedName name="RedFlag_2" localSheetId="10">#REF!</definedName>
    <definedName name="RedFlag_2" localSheetId="2">#REF!</definedName>
    <definedName name="RedFlag_2" localSheetId="3">#REF!</definedName>
    <definedName name="RedFlag_2" localSheetId="4">#REF!</definedName>
    <definedName name="RedFlag_2" localSheetId="5">#REF!</definedName>
    <definedName name="RedFlag_2" localSheetId="6">#REF!</definedName>
    <definedName name="RedFlag_2" localSheetId="7">#REF!</definedName>
    <definedName name="RedFlag_2" localSheetId="9">#REF!</definedName>
    <definedName name="RedFlag_2" localSheetId="12">#REF!</definedName>
    <definedName name="RedFlag_2">#REF!</definedName>
    <definedName name="RedFlag_20" localSheetId="13">#REF!</definedName>
    <definedName name="RedFlag_20" localSheetId="14">#REF!</definedName>
    <definedName name="RedFlag_20" localSheetId="1">#REF!</definedName>
    <definedName name="RedFlag_20" localSheetId="10">#REF!</definedName>
    <definedName name="RedFlag_20" localSheetId="2">#REF!</definedName>
    <definedName name="RedFlag_20" localSheetId="3">#REF!</definedName>
    <definedName name="RedFlag_20" localSheetId="4">#REF!</definedName>
    <definedName name="RedFlag_20" localSheetId="5">#REF!</definedName>
    <definedName name="RedFlag_20" localSheetId="6">#REF!</definedName>
    <definedName name="RedFlag_20" localSheetId="7">#REF!</definedName>
    <definedName name="RedFlag_20" localSheetId="9">#REF!</definedName>
    <definedName name="RedFlag_20" localSheetId="12">#REF!</definedName>
    <definedName name="RedFlag_20">#REF!</definedName>
    <definedName name="RedFlag_200" localSheetId="13">#REF!</definedName>
    <definedName name="RedFlag_200" localSheetId="14">#REF!</definedName>
    <definedName name="RedFlag_200" localSheetId="1">#REF!</definedName>
    <definedName name="RedFlag_200" localSheetId="10">#REF!</definedName>
    <definedName name="RedFlag_200" localSheetId="2">#REF!</definedName>
    <definedName name="RedFlag_200" localSheetId="3">#REF!</definedName>
    <definedName name="RedFlag_200" localSheetId="4">#REF!</definedName>
    <definedName name="RedFlag_200" localSheetId="5">#REF!</definedName>
    <definedName name="RedFlag_200" localSheetId="6">#REF!</definedName>
    <definedName name="RedFlag_200" localSheetId="7">#REF!</definedName>
    <definedName name="RedFlag_200" localSheetId="9">#REF!</definedName>
    <definedName name="RedFlag_200" localSheetId="12">#REF!</definedName>
    <definedName name="RedFlag_200">#REF!</definedName>
    <definedName name="RedFlag_201" localSheetId="13">#REF!</definedName>
    <definedName name="RedFlag_201" localSheetId="14">#REF!</definedName>
    <definedName name="RedFlag_201" localSheetId="1">#REF!</definedName>
    <definedName name="RedFlag_201" localSheetId="10">#REF!</definedName>
    <definedName name="RedFlag_201" localSheetId="2">#REF!</definedName>
    <definedName name="RedFlag_201" localSheetId="3">#REF!</definedName>
    <definedName name="RedFlag_201" localSheetId="4">#REF!</definedName>
    <definedName name="RedFlag_201" localSheetId="5">#REF!</definedName>
    <definedName name="RedFlag_201" localSheetId="6">#REF!</definedName>
    <definedName name="RedFlag_201" localSheetId="7">#REF!</definedName>
    <definedName name="RedFlag_201" localSheetId="9">#REF!</definedName>
    <definedName name="RedFlag_201" localSheetId="12">#REF!</definedName>
    <definedName name="RedFlag_201">#REF!</definedName>
    <definedName name="RedFlag_202" localSheetId="13">#REF!</definedName>
    <definedName name="RedFlag_202" localSheetId="14">#REF!</definedName>
    <definedName name="RedFlag_202" localSheetId="1">#REF!</definedName>
    <definedName name="RedFlag_202" localSheetId="10">#REF!</definedName>
    <definedName name="RedFlag_202" localSheetId="2">#REF!</definedName>
    <definedName name="RedFlag_202" localSheetId="3">#REF!</definedName>
    <definedName name="RedFlag_202" localSheetId="4">#REF!</definedName>
    <definedName name="RedFlag_202" localSheetId="5">#REF!</definedName>
    <definedName name="RedFlag_202" localSheetId="6">#REF!</definedName>
    <definedName name="RedFlag_202" localSheetId="7">#REF!</definedName>
    <definedName name="RedFlag_202" localSheetId="9">#REF!</definedName>
    <definedName name="RedFlag_202" localSheetId="12">#REF!</definedName>
    <definedName name="RedFlag_202">#REF!</definedName>
    <definedName name="RedFlag_203" localSheetId="13">#REF!</definedName>
    <definedName name="RedFlag_203" localSheetId="14">#REF!</definedName>
    <definedName name="RedFlag_203" localSheetId="1">#REF!</definedName>
    <definedName name="RedFlag_203" localSheetId="10">#REF!</definedName>
    <definedName name="RedFlag_203" localSheetId="2">#REF!</definedName>
    <definedName name="RedFlag_203" localSheetId="3">#REF!</definedName>
    <definedName name="RedFlag_203" localSheetId="4">#REF!</definedName>
    <definedName name="RedFlag_203" localSheetId="5">#REF!</definedName>
    <definedName name="RedFlag_203" localSheetId="6">#REF!</definedName>
    <definedName name="RedFlag_203" localSheetId="7">#REF!</definedName>
    <definedName name="RedFlag_203" localSheetId="9">#REF!</definedName>
    <definedName name="RedFlag_203" localSheetId="12">#REF!</definedName>
    <definedName name="RedFlag_203">#REF!</definedName>
    <definedName name="RedFlag_21" localSheetId="13">#REF!</definedName>
    <definedName name="RedFlag_21" localSheetId="14">#REF!</definedName>
    <definedName name="RedFlag_21" localSheetId="1">#REF!</definedName>
    <definedName name="RedFlag_21" localSheetId="10">#REF!</definedName>
    <definedName name="RedFlag_21" localSheetId="2">#REF!</definedName>
    <definedName name="RedFlag_21" localSheetId="3">#REF!</definedName>
    <definedName name="RedFlag_21" localSheetId="4">#REF!</definedName>
    <definedName name="RedFlag_21" localSheetId="5">#REF!</definedName>
    <definedName name="RedFlag_21" localSheetId="6">#REF!</definedName>
    <definedName name="RedFlag_21" localSheetId="7">#REF!</definedName>
    <definedName name="RedFlag_21" localSheetId="9">#REF!</definedName>
    <definedName name="RedFlag_21" localSheetId="12">#REF!</definedName>
    <definedName name="RedFlag_21">#REF!</definedName>
    <definedName name="RedFlag_22" localSheetId="13">#REF!</definedName>
    <definedName name="RedFlag_22" localSheetId="14">#REF!</definedName>
    <definedName name="RedFlag_22" localSheetId="1">#REF!</definedName>
    <definedName name="RedFlag_22" localSheetId="10">#REF!</definedName>
    <definedName name="RedFlag_22" localSheetId="2">#REF!</definedName>
    <definedName name="RedFlag_22" localSheetId="3">#REF!</definedName>
    <definedName name="RedFlag_22" localSheetId="4">#REF!</definedName>
    <definedName name="RedFlag_22" localSheetId="5">#REF!</definedName>
    <definedName name="RedFlag_22" localSheetId="6">#REF!</definedName>
    <definedName name="RedFlag_22" localSheetId="7">#REF!</definedName>
    <definedName name="RedFlag_22" localSheetId="9">#REF!</definedName>
    <definedName name="RedFlag_22" localSheetId="12">#REF!</definedName>
    <definedName name="RedFlag_22">#REF!</definedName>
    <definedName name="RedFlag_23" localSheetId="13">#REF!</definedName>
    <definedName name="RedFlag_23" localSheetId="14">#REF!</definedName>
    <definedName name="RedFlag_23" localSheetId="1">#REF!</definedName>
    <definedName name="RedFlag_23" localSheetId="10">#REF!</definedName>
    <definedName name="RedFlag_23" localSheetId="2">#REF!</definedName>
    <definedName name="RedFlag_23" localSheetId="3">#REF!</definedName>
    <definedName name="RedFlag_23" localSheetId="4">#REF!</definedName>
    <definedName name="RedFlag_23" localSheetId="5">#REF!</definedName>
    <definedName name="RedFlag_23" localSheetId="6">#REF!</definedName>
    <definedName name="RedFlag_23" localSheetId="7">#REF!</definedName>
    <definedName name="RedFlag_23" localSheetId="9">#REF!</definedName>
    <definedName name="RedFlag_23" localSheetId="12">#REF!</definedName>
    <definedName name="RedFlag_23">#REF!</definedName>
    <definedName name="RedFlag_25" localSheetId="13">#REF!</definedName>
    <definedName name="RedFlag_25" localSheetId="14">#REF!</definedName>
    <definedName name="RedFlag_25" localSheetId="1">#REF!</definedName>
    <definedName name="RedFlag_25" localSheetId="10">#REF!</definedName>
    <definedName name="RedFlag_25" localSheetId="2">#REF!</definedName>
    <definedName name="RedFlag_25" localSheetId="3">#REF!</definedName>
    <definedName name="RedFlag_25" localSheetId="4">#REF!</definedName>
    <definedName name="RedFlag_25" localSheetId="5">#REF!</definedName>
    <definedName name="RedFlag_25" localSheetId="6">#REF!</definedName>
    <definedName name="RedFlag_25" localSheetId="7">#REF!</definedName>
    <definedName name="RedFlag_25" localSheetId="9">#REF!</definedName>
    <definedName name="RedFlag_25" localSheetId="12">#REF!</definedName>
    <definedName name="RedFlag_25">#REF!</definedName>
    <definedName name="RedFlag_26" localSheetId="13">#REF!</definedName>
    <definedName name="RedFlag_26" localSheetId="14">#REF!</definedName>
    <definedName name="RedFlag_26" localSheetId="1">#REF!</definedName>
    <definedName name="RedFlag_26" localSheetId="10">#REF!</definedName>
    <definedName name="RedFlag_26" localSheetId="2">#REF!</definedName>
    <definedName name="RedFlag_26" localSheetId="3">#REF!</definedName>
    <definedName name="RedFlag_26" localSheetId="4">#REF!</definedName>
    <definedName name="RedFlag_26" localSheetId="5">#REF!</definedName>
    <definedName name="RedFlag_26" localSheetId="6">#REF!</definedName>
    <definedName name="RedFlag_26" localSheetId="7">#REF!</definedName>
    <definedName name="RedFlag_26" localSheetId="9">#REF!</definedName>
    <definedName name="RedFlag_26" localSheetId="12">#REF!</definedName>
    <definedName name="RedFlag_26">#REF!</definedName>
    <definedName name="RedFlag_27" localSheetId="13">#REF!</definedName>
    <definedName name="RedFlag_27" localSheetId="14">#REF!</definedName>
    <definedName name="RedFlag_27" localSheetId="1">#REF!</definedName>
    <definedName name="RedFlag_27" localSheetId="10">#REF!</definedName>
    <definedName name="RedFlag_27" localSheetId="2">#REF!</definedName>
    <definedName name="RedFlag_27" localSheetId="3">#REF!</definedName>
    <definedName name="RedFlag_27" localSheetId="4">#REF!</definedName>
    <definedName name="RedFlag_27" localSheetId="5">#REF!</definedName>
    <definedName name="RedFlag_27" localSheetId="6">#REF!</definedName>
    <definedName name="RedFlag_27" localSheetId="7">#REF!</definedName>
    <definedName name="RedFlag_27" localSheetId="9">#REF!</definedName>
    <definedName name="RedFlag_27" localSheetId="12">#REF!</definedName>
    <definedName name="RedFlag_27">#REF!</definedName>
    <definedName name="RedFlag_28" localSheetId="13">#REF!</definedName>
    <definedName name="RedFlag_28" localSheetId="14">#REF!</definedName>
    <definedName name="RedFlag_28" localSheetId="1">#REF!</definedName>
    <definedName name="RedFlag_28" localSheetId="10">#REF!</definedName>
    <definedName name="RedFlag_28" localSheetId="2">#REF!</definedName>
    <definedName name="RedFlag_28" localSheetId="3">#REF!</definedName>
    <definedName name="RedFlag_28" localSheetId="4">#REF!</definedName>
    <definedName name="RedFlag_28" localSheetId="5">#REF!</definedName>
    <definedName name="RedFlag_28" localSheetId="6">#REF!</definedName>
    <definedName name="RedFlag_28" localSheetId="7">#REF!</definedName>
    <definedName name="RedFlag_28" localSheetId="9">#REF!</definedName>
    <definedName name="RedFlag_28" localSheetId="12">#REF!</definedName>
    <definedName name="RedFlag_28">#REF!</definedName>
    <definedName name="RedFlag_29" localSheetId="13">#REF!</definedName>
    <definedName name="RedFlag_29" localSheetId="14">#REF!</definedName>
    <definedName name="RedFlag_29" localSheetId="1">#REF!</definedName>
    <definedName name="RedFlag_29" localSheetId="10">#REF!</definedName>
    <definedName name="RedFlag_29" localSheetId="2">#REF!</definedName>
    <definedName name="RedFlag_29" localSheetId="3">#REF!</definedName>
    <definedName name="RedFlag_29" localSheetId="4">#REF!</definedName>
    <definedName name="RedFlag_29" localSheetId="5">#REF!</definedName>
    <definedName name="RedFlag_29" localSheetId="6">#REF!</definedName>
    <definedName name="RedFlag_29" localSheetId="7">#REF!</definedName>
    <definedName name="RedFlag_29" localSheetId="9">#REF!</definedName>
    <definedName name="RedFlag_29" localSheetId="12">#REF!</definedName>
    <definedName name="RedFlag_29">#REF!</definedName>
    <definedName name="RedFlag_30" localSheetId="13">#REF!</definedName>
    <definedName name="RedFlag_30" localSheetId="14">#REF!</definedName>
    <definedName name="RedFlag_30" localSheetId="1">#REF!</definedName>
    <definedName name="RedFlag_30" localSheetId="10">#REF!</definedName>
    <definedName name="RedFlag_30" localSheetId="2">#REF!</definedName>
    <definedName name="RedFlag_30" localSheetId="3">#REF!</definedName>
    <definedName name="RedFlag_30" localSheetId="4">#REF!</definedName>
    <definedName name="RedFlag_30" localSheetId="5">#REF!</definedName>
    <definedName name="RedFlag_30" localSheetId="6">#REF!</definedName>
    <definedName name="RedFlag_30" localSheetId="7">#REF!</definedName>
    <definedName name="RedFlag_30" localSheetId="9">#REF!</definedName>
    <definedName name="RedFlag_30" localSheetId="12">#REF!</definedName>
    <definedName name="RedFlag_30">#REF!</definedName>
    <definedName name="RedFlag_3011" localSheetId="13">#REF!</definedName>
    <definedName name="RedFlag_3011" localSheetId="14">#REF!</definedName>
    <definedName name="RedFlag_3011" localSheetId="1">#REF!</definedName>
    <definedName name="RedFlag_3011" localSheetId="10">#REF!</definedName>
    <definedName name="RedFlag_3011" localSheetId="2">#REF!</definedName>
    <definedName name="RedFlag_3011" localSheetId="3">#REF!</definedName>
    <definedName name="RedFlag_3011" localSheetId="4">#REF!</definedName>
    <definedName name="RedFlag_3011" localSheetId="5">#REF!</definedName>
    <definedName name="RedFlag_3011" localSheetId="6">#REF!</definedName>
    <definedName name="RedFlag_3011" localSheetId="7">#REF!</definedName>
    <definedName name="RedFlag_3011" localSheetId="9">#REF!</definedName>
    <definedName name="RedFlag_3011">#REF!</definedName>
    <definedName name="RedFlag_31" localSheetId="13">#REF!</definedName>
    <definedName name="RedFlag_31" localSheetId="14">#REF!</definedName>
    <definedName name="RedFlag_31" localSheetId="1">#REF!</definedName>
    <definedName name="RedFlag_31" localSheetId="10">#REF!</definedName>
    <definedName name="RedFlag_31" localSheetId="2">#REF!</definedName>
    <definedName name="RedFlag_31" localSheetId="3">#REF!</definedName>
    <definedName name="RedFlag_31" localSheetId="4">#REF!</definedName>
    <definedName name="RedFlag_31" localSheetId="5">#REF!</definedName>
    <definedName name="RedFlag_31" localSheetId="6">#REF!</definedName>
    <definedName name="RedFlag_31" localSheetId="7">#REF!</definedName>
    <definedName name="RedFlag_31" localSheetId="9">#REF!</definedName>
    <definedName name="RedFlag_31" localSheetId="12">#REF!</definedName>
    <definedName name="RedFlag_31">#REF!</definedName>
    <definedName name="RedFlag_32" localSheetId="13">#REF!</definedName>
    <definedName name="RedFlag_32" localSheetId="14">#REF!</definedName>
    <definedName name="RedFlag_32" localSheetId="1">#REF!</definedName>
    <definedName name="RedFlag_32" localSheetId="10">#REF!</definedName>
    <definedName name="RedFlag_32" localSheetId="2">#REF!</definedName>
    <definedName name="RedFlag_32" localSheetId="3">#REF!</definedName>
    <definedName name="RedFlag_32" localSheetId="4">#REF!</definedName>
    <definedName name="RedFlag_32" localSheetId="5">#REF!</definedName>
    <definedName name="RedFlag_32" localSheetId="6">#REF!</definedName>
    <definedName name="RedFlag_32" localSheetId="7">#REF!</definedName>
    <definedName name="RedFlag_32" localSheetId="9">#REF!</definedName>
    <definedName name="RedFlag_32" localSheetId="12">#REF!</definedName>
    <definedName name="RedFlag_32">#REF!</definedName>
    <definedName name="RedFlag_33" localSheetId="13">#REF!</definedName>
    <definedName name="RedFlag_33" localSheetId="14">#REF!</definedName>
    <definedName name="RedFlag_33" localSheetId="1">#REF!</definedName>
    <definedName name="RedFlag_33" localSheetId="10">#REF!</definedName>
    <definedName name="RedFlag_33" localSheetId="2">#REF!</definedName>
    <definedName name="RedFlag_33" localSheetId="3">#REF!</definedName>
    <definedName name="RedFlag_33" localSheetId="4">#REF!</definedName>
    <definedName name="RedFlag_33" localSheetId="5">#REF!</definedName>
    <definedName name="RedFlag_33" localSheetId="6">#REF!</definedName>
    <definedName name="RedFlag_33" localSheetId="7">#REF!</definedName>
    <definedName name="RedFlag_33" localSheetId="9">#REF!</definedName>
    <definedName name="RedFlag_33" localSheetId="12">#REF!</definedName>
    <definedName name="RedFlag_33">#REF!</definedName>
    <definedName name="RedFlag_34" localSheetId="13">#REF!</definedName>
    <definedName name="RedFlag_34" localSheetId="14">#REF!</definedName>
    <definedName name="RedFlag_34" localSheetId="1">#REF!</definedName>
    <definedName name="RedFlag_34" localSheetId="10">#REF!</definedName>
    <definedName name="RedFlag_34" localSheetId="2">#REF!</definedName>
    <definedName name="RedFlag_34" localSheetId="3">#REF!</definedName>
    <definedName name="RedFlag_34" localSheetId="4">#REF!</definedName>
    <definedName name="RedFlag_34" localSheetId="5">#REF!</definedName>
    <definedName name="RedFlag_34" localSheetId="6">#REF!</definedName>
    <definedName name="RedFlag_34" localSheetId="7">#REF!</definedName>
    <definedName name="RedFlag_34" localSheetId="9">#REF!</definedName>
    <definedName name="RedFlag_34" localSheetId="12">#REF!</definedName>
    <definedName name="RedFlag_34">#REF!</definedName>
    <definedName name="RedFlag_35" localSheetId="13">#REF!</definedName>
    <definedName name="RedFlag_35" localSheetId="14">#REF!</definedName>
    <definedName name="RedFlag_35" localSheetId="1">#REF!</definedName>
    <definedName name="RedFlag_35" localSheetId="10">#REF!</definedName>
    <definedName name="RedFlag_35" localSheetId="2">#REF!</definedName>
    <definedName name="RedFlag_35" localSheetId="3">#REF!</definedName>
    <definedName name="RedFlag_35" localSheetId="4">#REF!</definedName>
    <definedName name="RedFlag_35" localSheetId="5">#REF!</definedName>
    <definedName name="RedFlag_35" localSheetId="6">#REF!</definedName>
    <definedName name="RedFlag_35" localSheetId="7">#REF!</definedName>
    <definedName name="RedFlag_35" localSheetId="9">#REF!</definedName>
    <definedName name="RedFlag_35" localSheetId="12">#REF!</definedName>
    <definedName name="RedFlag_35">#REF!</definedName>
    <definedName name="RedFlag_36" localSheetId="13">#REF!</definedName>
    <definedName name="RedFlag_36" localSheetId="14">#REF!</definedName>
    <definedName name="RedFlag_36" localSheetId="1">#REF!</definedName>
    <definedName name="RedFlag_36" localSheetId="10">#REF!</definedName>
    <definedName name="RedFlag_36" localSheetId="2">#REF!</definedName>
    <definedName name="RedFlag_36" localSheetId="3">#REF!</definedName>
    <definedName name="RedFlag_36" localSheetId="4">#REF!</definedName>
    <definedName name="RedFlag_36" localSheetId="5">#REF!</definedName>
    <definedName name="RedFlag_36" localSheetId="6">#REF!</definedName>
    <definedName name="RedFlag_36" localSheetId="7">#REF!</definedName>
    <definedName name="RedFlag_36" localSheetId="9">#REF!</definedName>
    <definedName name="RedFlag_36" localSheetId="12">#REF!</definedName>
    <definedName name="RedFlag_36">#REF!</definedName>
    <definedName name="RedFlag_37" localSheetId="13">#REF!</definedName>
    <definedName name="RedFlag_37" localSheetId="14">#REF!</definedName>
    <definedName name="RedFlag_37" localSheetId="1">#REF!</definedName>
    <definedName name="RedFlag_37" localSheetId="10">#REF!</definedName>
    <definedName name="RedFlag_37" localSheetId="2">#REF!</definedName>
    <definedName name="RedFlag_37" localSheetId="3">#REF!</definedName>
    <definedName name="RedFlag_37" localSheetId="4">#REF!</definedName>
    <definedName name="RedFlag_37" localSheetId="5">#REF!</definedName>
    <definedName name="RedFlag_37" localSheetId="6">#REF!</definedName>
    <definedName name="RedFlag_37" localSheetId="7">#REF!</definedName>
    <definedName name="RedFlag_37" localSheetId="9">#REF!</definedName>
    <definedName name="RedFlag_37" localSheetId="12">#REF!</definedName>
    <definedName name="RedFlag_37">#REF!</definedName>
    <definedName name="RedFlag_38" localSheetId="13">#REF!</definedName>
    <definedName name="RedFlag_38" localSheetId="14">#REF!</definedName>
    <definedName name="RedFlag_38" localSheetId="1">#REF!</definedName>
    <definedName name="RedFlag_38" localSheetId="10">#REF!</definedName>
    <definedName name="RedFlag_38" localSheetId="2">#REF!</definedName>
    <definedName name="RedFlag_38" localSheetId="3">#REF!</definedName>
    <definedName name="RedFlag_38" localSheetId="4">#REF!</definedName>
    <definedName name="RedFlag_38" localSheetId="5">#REF!</definedName>
    <definedName name="RedFlag_38" localSheetId="6">#REF!</definedName>
    <definedName name="RedFlag_38" localSheetId="7">#REF!</definedName>
    <definedName name="RedFlag_38" localSheetId="9">#REF!</definedName>
    <definedName name="RedFlag_38" localSheetId="12">#REF!</definedName>
    <definedName name="RedFlag_38">#REF!</definedName>
    <definedName name="RedFlag_39" localSheetId="13">#REF!</definedName>
    <definedName name="RedFlag_39" localSheetId="14">#REF!</definedName>
    <definedName name="RedFlag_39" localSheetId="1">#REF!</definedName>
    <definedName name="RedFlag_39" localSheetId="10">#REF!</definedName>
    <definedName name="RedFlag_39" localSheetId="2">#REF!</definedName>
    <definedName name="RedFlag_39" localSheetId="3">#REF!</definedName>
    <definedName name="RedFlag_39" localSheetId="4">#REF!</definedName>
    <definedName name="RedFlag_39" localSheetId="5">#REF!</definedName>
    <definedName name="RedFlag_39" localSheetId="6">#REF!</definedName>
    <definedName name="RedFlag_39" localSheetId="7">#REF!</definedName>
    <definedName name="RedFlag_39" localSheetId="9">#REF!</definedName>
    <definedName name="RedFlag_39" localSheetId="12">#REF!</definedName>
    <definedName name="RedFlag_39">#REF!</definedName>
    <definedName name="RedFlag_40" localSheetId="13">#REF!</definedName>
    <definedName name="RedFlag_40" localSheetId="14">#REF!</definedName>
    <definedName name="RedFlag_40" localSheetId="1">#REF!</definedName>
    <definedName name="RedFlag_40" localSheetId="10">#REF!</definedName>
    <definedName name="RedFlag_40" localSheetId="2">#REF!</definedName>
    <definedName name="RedFlag_40" localSheetId="3">#REF!</definedName>
    <definedName name="RedFlag_40" localSheetId="4">#REF!</definedName>
    <definedName name="RedFlag_40" localSheetId="5">#REF!</definedName>
    <definedName name="RedFlag_40" localSheetId="6">#REF!</definedName>
    <definedName name="RedFlag_40" localSheetId="7">#REF!</definedName>
    <definedName name="RedFlag_40" localSheetId="9">#REF!</definedName>
    <definedName name="RedFlag_40" localSheetId="12">#REF!</definedName>
    <definedName name="RedFlag_40">#REF!</definedName>
    <definedName name="RedFlag_41" localSheetId="13">#REF!</definedName>
    <definedName name="RedFlag_41" localSheetId="14">#REF!</definedName>
    <definedName name="RedFlag_41" localSheetId="1">#REF!</definedName>
    <definedName name="RedFlag_41" localSheetId="10">#REF!</definedName>
    <definedName name="RedFlag_41" localSheetId="2">#REF!</definedName>
    <definedName name="RedFlag_41" localSheetId="3">#REF!</definedName>
    <definedName name="RedFlag_41" localSheetId="4">#REF!</definedName>
    <definedName name="RedFlag_41" localSheetId="5">#REF!</definedName>
    <definedName name="RedFlag_41" localSheetId="6">#REF!</definedName>
    <definedName name="RedFlag_41" localSheetId="7">#REF!</definedName>
    <definedName name="RedFlag_41" localSheetId="9">#REF!</definedName>
    <definedName name="RedFlag_41" localSheetId="12">#REF!</definedName>
    <definedName name="RedFlag_41">#REF!</definedName>
    <definedName name="RedFlag_42" localSheetId="13">#REF!</definedName>
    <definedName name="RedFlag_42" localSheetId="14">#REF!</definedName>
    <definedName name="RedFlag_42" localSheetId="1">#REF!</definedName>
    <definedName name="RedFlag_42" localSheetId="10">#REF!</definedName>
    <definedName name="RedFlag_42" localSheetId="2">#REF!</definedName>
    <definedName name="RedFlag_42" localSheetId="3">#REF!</definedName>
    <definedName name="RedFlag_42" localSheetId="4">#REF!</definedName>
    <definedName name="RedFlag_42" localSheetId="5">#REF!</definedName>
    <definedName name="RedFlag_42" localSheetId="6">#REF!</definedName>
    <definedName name="RedFlag_42" localSheetId="7">#REF!</definedName>
    <definedName name="RedFlag_42" localSheetId="9">#REF!</definedName>
    <definedName name="RedFlag_42" localSheetId="12">#REF!</definedName>
    <definedName name="RedFlag_42">#REF!</definedName>
    <definedName name="RedFlag_43" localSheetId="13">#REF!</definedName>
    <definedName name="RedFlag_43" localSheetId="14">#REF!</definedName>
    <definedName name="RedFlag_43" localSheetId="1">#REF!</definedName>
    <definedName name="RedFlag_43" localSheetId="10">#REF!</definedName>
    <definedName name="RedFlag_43" localSheetId="2">#REF!</definedName>
    <definedName name="RedFlag_43" localSheetId="3">#REF!</definedName>
    <definedName name="RedFlag_43" localSheetId="4">#REF!</definedName>
    <definedName name="RedFlag_43" localSheetId="5">#REF!</definedName>
    <definedName name="RedFlag_43" localSheetId="6">#REF!</definedName>
    <definedName name="RedFlag_43" localSheetId="7">#REF!</definedName>
    <definedName name="RedFlag_43" localSheetId="9">#REF!</definedName>
    <definedName name="RedFlag_43" localSheetId="12">#REF!</definedName>
    <definedName name="RedFlag_43">#REF!</definedName>
    <definedName name="RedFlag_49" localSheetId="13">#REF!</definedName>
    <definedName name="RedFlag_49" localSheetId="14">#REF!</definedName>
    <definedName name="RedFlag_49" localSheetId="1">#REF!</definedName>
    <definedName name="RedFlag_49" localSheetId="10">#REF!</definedName>
    <definedName name="RedFlag_49" localSheetId="2">#REF!</definedName>
    <definedName name="RedFlag_49" localSheetId="3">#REF!</definedName>
    <definedName name="RedFlag_49" localSheetId="4">#REF!</definedName>
    <definedName name="RedFlag_49" localSheetId="5">#REF!</definedName>
    <definedName name="RedFlag_49" localSheetId="6">#REF!</definedName>
    <definedName name="RedFlag_49" localSheetId="7">#REF!</definedName>
    <definedName name="RedFlag_49" localSheetId="9">#REF!</definedName>
    <definedName name="RedFlag_49" localSheetId="12">#REF!</definedName>
    <definedName name="RedFlag_49">#REF!</definedName>
    <definedName name="RedFlag_50" localSheetId="13">#REF!</definedName>
    <definedName name="RedFlag_50" localSheetId="14">#REF!</definedName>
    <definedName name="RedFlag_50" localSheetId="1">#REF!</definedName>
    <definedName name="RedFlag_50" localSheetId="10">#REF!</definedName>
    <definedName name="RedFlag_50" localSheetId="2">#REF!</definedName>
    <definedName name="RedFlag_50" localSheetId="3">#REF!</definedName>
    <definedName name="RedFlag_50" localSheetId="4">#REF!</definedName>
    <definedName name="RedFlag_50" localSheetId="5">#REF!</definedName>
    <definedName name="RedFlag_50" localSheetId="6">#REF!</definedName>
    <definedName name="RedFlag_50" localSheetId="7">#REF!</definedName>
    <definedName name="RedFlag_50" localSheetId="9">#REF!</definedName>
    <definedName name="RedFlag_50" localSheetId="12">#REF!</definedName>
    <definedName name="RedFlag_50">#REF!</definedName>
    <definedName name="RedFlag_51" localSheetId="13">#REF!</definedName>
    <definedName name="RedFlag_51" localSheetId="14">#REF!</definedName>
    <definedName name="RedFlag_51" localSheetId="1">#REF!</definedName>
    <definedName name="RedFlag_51" localSheetId="10">#REF!</definedName>
    <definedName name="RedFlag_51" localSheetId="2">#REF!</definedName>
    <definedName name="RedFlag_51" localSheetId="3">#REF!</definedName>
    <definedName name="RedFlag_51" localSheetId="4">#REF!</definedName>
    <definedName name="RedFlag_51" localSheetId="5">#REF!</definedName>
    <definedName name="RedFlag_51" localSheetId="6">#REF!</definedName>
    <definedName name="RedFlag_51" localSheetId="7">#REF!</definedName>
    <definedName name="RedFlag_51" localSheetId="9">#REF!</definedName>
    <definedName name="RedFlag_51" localSheetId="12">#REF!</definedName>
    <definedName name="RedFlag_51">#REF!</definedName>
    <definedName name="RedFlag_52" localSheetId="13">#REF!</definedName>
    <definedName name="RedFlag_52" localSheetId="14">#REF!</definedName>
    <definedName name="RedFlag_52" localSheetId="1">#REF!</definedName>
    <definedName name="RedFlag_52" localSheetId="10">#REF!</definedName>
    <definedName name="RedFlag_52" localSheetId="2">#REF!</definedName>
    <definedName name="RedFlag_52" localSheetId="3">#REF!</definedName>
    <definedName name="RedFlag_52" localSheetId="4">#REF!</definedName>
    <definedName name="RedFlag_52" localSheetId="5">#REF!</definedName>
    <definedName name="RedFlag_52" localSheetId="6">#REF!</definedName>
    <definedName name="RedFlag_52" localSheetId="7">#REF!</definedName>
    <definedName name="RedFlag_52" localSheetId="9">#REF!</definedName>
    <definedName name="RedFlag_52" localSheetId="12">#REF!</definedName>
    <definedName name="RedFlag_52">#REF!</definedName>
    <definedName name="RedFlag_53" localSheetId="13">#REF!</definedName>
    <definedName name="RedFlag_53" localSheetId="14">#REF!</definedName>
    <definedName name="RedFlag_53" localSheetId="1">#REF!</definedName>
    <definedName name="RedFlag_53" localSheetId="10">#REF!</definedName>
    <definedName name="RedFlag_53" localSheetId="2">#REF!</definedName>
    <definedName name="RedFlag_53" localSheetId="3">#REF!</definedName>
    <definedName name="RedFlag_53" localSheetId="4">#REF!</definedName>
    <definedName name="RedFlag_53" localSheetId="5">#REF!</definedName>
    <definedName name="RedFlag_53" localSheetId="6">#REF!</definedName>
    <definedName name="RedFlag_53" localSheetId="7">#REF!</definedName>
    <definedName name="RedFlag_53" localSheetId="9">#REF!</definedName>
    <definedName name="RedFlag_53" localSheetId="12">#REF!</definedName>
    <definedName name="RedFlag_53">#REF!</definedName>
    <definedName name="RedFlag_54" localSheetId="13">#REF!</definedName>
    <definedName name="RedFlag_54" localSheetId="14">#REF!</definedName>
    <definedName name="RedFlag_54" localSheetId="1">#REF!</definedName>
    <definedName name="RedFlag_54" localSheetId="10">#REF!</definedName>
    <definedName name="RedFlag_54" localSheetId="2">#REF!</definedName>
    <definedName name="RedFlag_54" localSheetId="3">#REF!</definedName>
    <definedName name="RedFlag_54" localSheetId="4">#REF!</definedName>
    <definedName name="RedFlag_54" localSheetId="5">#REF!</definedName>
    <definedName name="RedFlag_54" localSheetId="6">#REF!</definedName>
    <definedName name="RedFlag_54" localSheetId="7">#REF!</definedName>
    <definedName name="RedFlag_54" localSheetId="9">#REF!</definedName>
    <definedName name="RedFlag_54" localSheetId="12">#REF!</definedName>
    <definedName name="RedFlag_54">#REF!</definedName>
    <definedName name="RedFlag_56" localSheetId="13">#REF!</definedName>
    <definedName name="RedFlag_56" localSheetId="14">#REF!</definedName>
    <definedName name="RedFlag_56" localSheetId="1">#REF!</definedName>
    <definedName name="RedFlag_56" localSheetId="10">#REF!</definedName>
    <definedName name="RedFlag_56" localSheetId="2">#REF!</definedName>
    <definedName name="RedFlag_56" localSheetId="3">#REF!</definedName>
    <definedName name="RedFlag_56" localSheetId="4">#REF!</definedName>
    <definedName name="RedFlag_56" localSheetId="5">#REF!</definedName>
    <definedName name="RedFlag_56" localSheetId="6">#REF!</definedName>
    <definedName name="RedFlag_56" localSheetId="7">#REF!</definedName>
    <definedName name="RedFlag_56" localSheetId="9">#REF!</definedName>
    <definedName name="RedFlag_56" localSheetId="12">#REF!</definedName>
    <definedName name="RedFlag_56">#REF!</definedName>
    <definedName name="RedFlag_57" localSheetId="13">#REF!</definedName>
    <definedName name="RedFlag_57" localSheetId="14">#REF!</definedName>
    <definedName name="RedFlag_57" localSheetId="1">#REF!</definedName>
    <definedName name="RedFlag_57" localSheetId="10">#REF!</definedName>
    <definedName name="RedFlag_57" localSheetId="2">#REF!</definedName>
    <definedName name="RedFlag_57" localSheetId="3">#REF!</definedName>
    <definedName name="RedFlag_57" localSheetId="4">#REF!</definedName>
    <definedName name="RedFlag_57" localSheetId="5">#REF!</definedName>
    <definedName name="RedFlag_57" localSheetId="6">#REF!</definedName>
    <definedName name="RedFlag_57" localSheetId="7">#REF!</definedName>
    <definedName name="RedFlag_57" localSheetId="9">#REF!</definedName>
    <definedName name="RedFlag_57" localSheetId="12">#REF!</definedName>
    <definedName name="RedFlag_57">#REF!</definedName>
    <definedName name="RedFlag_58" localSheetId="13">#REF!</definedName>
    <definedName name="RedFlag_58" localSheetId="14">#REF!</definedName>
    <definedName name="RedFlag_58" localSheetId="1">#REF!</definedName>
    <definedName name="RedFlag_58" localSheetId="10">#REF!</definedName>
    <definedName name="RedFlag_58" localSheetId="2">#REF!</definedName>
    <definedName name="RedFlag_58" localSheetId="3">#REF!</definedName>
    <definedName name="RedFlag_58" localSheetId="4">#REF!</definedName>
    <definedName name="RedFlag_58" localSheetId="5">#REF!</definedName>
    <definedName name="RedFlag_58" localSheetId="6">#REF!</definedName>
    <definedName name="RedFlag_58" localSheetId="7">#REF!</definedName>
    <definedName name="RedFlag_58" localSheetId="9">#REF!</definedName>
    <definedName name="RedFlag_58" localSheetId="12">#REF!</definedName>
    <definedName name="RedFlag_58">#REF!</definedName>
    <definedName name="RedFlag_59" localSheetId="13">#REF!</definedName>
    <definedName name="RedFlag_59" localSheetId="14">#REF!</definedName>
    <definedName name="RedFlag_59" localSheetId="1">#REF!</definedName>
    <definedName name="RedFlag_59" localSheetId="10">#REF!</definedName>
    <definedName name="RedFlag_59" localSheetId="2">#REF!</definedName>
    <definedName name="RedFlag_59" localSheetId="3">#REF!</definedName>
    <definedName name="RedFlag_59" localSheetId="4">#REF!</definedName>
    <definedName name="RedFlag_59" localSheetId="5">#REF!</definedName>
    <definedName name="RedFlag_59" localSheetId="6">#REF!</definedName>
    <definedName name="RedFlag_59" localSheetId="7">#REF!</definedName>
    <definedName name="RedFlag_59" localSheetId="9">#REF!</definedName>
    <definedName name="RedFlag_59" localSheetId="12">#REF!</definedName>
    <definedName name="RedFlag_59">#REF!</definedName>
    <definedName name="RedFlag_60" localSheetId="13">#REF!</definedName>
    <definedName name="RedFlag_60" localSheetId="14">#REF!</definedName>
    <definedName name="RedFlag_60" localSheetId="1">#REF!</definedName>
    <definedName name="RedFlag_60" localSheetId="10">#REF!</definedName>
    <definedName name="RedFlag_60" localSheetId="2">#REF!</definedName>
    <definedName name="RedFlag_60" localSheetId="3">#REF!</definedName>
    <definedName name="RedFlag_60" localSheetId="4">#REF!</definedName>
    <definedName name="RedFlag_60" localSheetId="5">#REF!</definedName>
    <definedName name="RedFlag_60" localSheetId="6">#REF!</definedName>
    <definedName name="RedFlag_60" localSheetId="7">#REF!</definedName>
    <definedName name="RedFlag_60" localSheetId="9">#REF!</definedName>
    <definedName name="RedFlag_60" localSheetId="12">#REF!</definedName>
    <definedName name="RedFlag_60">#REF!</definedName>
    <definedName name="RedFlag_61" localSheetId="13">#REF!</definedName>
    <definedName name="RedFlag_61" localSheetId="14">#REF!</definedName>
    <definedName name="RedFlag_61" localSheetId="1">#REF!</definedName>
    <definedName name="RedFlag_61" localSheetId="10">#REF!</definedName>
    <definedName name="RedFlag_61" localSheetId="2">#REF!</definedName>
    <definedName name="RedFlag_61" localSheetId="3">#REF!</definedName>
    <definedName name="RedFlag_61" localSheetId="4">#REF!</definedName>
    <definedName name="RedFlag_61" localSheetId="5">#REF!</definedName>
    <definedName name="RedFlag_61" localSheetId="6">#REF!</definedName>
    <definedName name="RedFlag_61" localSheetId="7">#REF!</definedName>
    <definedName name="RedFlag_61" localSheetId="9">#REF!</definedName>
    <definedName name="RedFlag_61" localSheetId="12">#REF!</definedName>
    <definedName name="RedFlag_61">#REF!</definedName>
    <definedName name="RedFlag_62" localSheetId="13">#REF!</definedName>
    <definedName name="RedFlag_62" localSheetId="14">#REF!</definedName>
    <definedName name="RedFlag_62" localSheetId="1">#REF!</definedName>
    <definedName name="RedFlag_62" localSheetId="10">#REF!</definedName>
    <definedName name="RedFlag_62" localSheetId="2">#REF!</definedName>
    <definedName name="RedFlag_62" localSheetId="3">#REF!</definedName>
    <definedName name="RedFlag_62" localSheetId="4">#REF!</definedName>
    <definedName name="RedFlag_62" localSheetId="5">#REF!</definedName>
    <definedName name="RedFlag_62" localSheetId="6">#REF!</definedName>
    <definedName name="RedFlag_62" localSheetId="7">#REF!</definedName>
    <definedName name="RedFlag_62" localSheetId="9">#REF!</definedName>
    <definedName name="RedFlag_62" localSheetId="12">#REF!</definedName>
    <definedName name="RedFlag_62">#REF!</definedName>
    <definedName name="RedFlag_63" localSheetId="13">#REF!</definedName>
    <definedName name="RedFlag_63" localSheetId="14">#REF!</definedName>
    <definedName name="RedFlag_63" localSheetId="1">#REF!</definedName>
    <definedName name="RedFlag_63" localSheetId="10">#REF!</definedName>
    <definedName name="RedFlag_63" localSheetId="2">#REF!</definedName>
    <definedName name="RedFlag_63" localSheetId="3">#REF!</definedName>
    <definedName name="RedFlag_63" localSheetId="4">#REF!</definedName>
    <definedName name="RedFlag_63" localSheetId="5">#REF!</definedName>
    <definedName name="RedFlag_63" localSheetId="6">#REF!</definedName>
    <definedName name="RedFlag_63" localSheetId="7">#REF!</definedName>
    <definedName name="RedFlag_63" localSheetId="9">#REF!</definedName>
    <definedName name="RedFlag_63" localSheetId="12">#REF!</definedName>
    <definedName name="RedFlag_63">#REF!</definedName>
    <definedName name="RedFlag_64" localSheetId="13">#REF!</definedName>
    <definedName name="RedFlag_64" localSheetId="14">#REF!</definedName>
    <definedName name="RedFlag_64" localSheetId="1">#REF!</definedName>
    <definedName name="RedFlag_64" localSheetId="10">#REF!</definedName>
    <definedName name="RedFlag_64" localSheetId="2">#REF!</definedName>
    <definedName name="RedFlag_64" localSheetId="3">#REF!</definedName>
    <definedName name="RedFlag_64" localSheetId="4">#REF!</definedName>
    <definedName name="RedFlag_64" localSheetId="5">#REF!</definedName>
    <definedName name="RedFlag_64" localSheetId="6">#REF!</definedName>
    <definedName name="RedFlag_64" localSheetId="7">#REF!</definedName>
    <definedName name="RedFlag_64" localSheetId="9">#REF!</definedName>
    <definedName name="RedFlag_64" localSheetId="12">#REF!</definedName>
    <definedName name="RedFlag_64">#REF!</definedName>
    <definedName name="RedFlag_65" localSheetId="13">#REF!</definedName>
    <definedName name="RedFlag_65" localSheetId="14">#REF!</definedName>
    <definedName name="RedFlag_65" localSheetId="1">#REF!</definedName>
    <definedName name="RedFlag_65" localSheetId="10">#REF!</definedName>
    <definedName name="RedFlag_65" localSheetId="2">#REF!</definedName>
    <definedName name="RedFlag_65" localSheetId="3">#REF!</definedName>
    <definedName name="RedFlag_65" localSheetId="4">#REF!</definedName>
    <definedName name="RedFlag_65" localSheetId="5">#REF!</definedName>
    <definedName name="RedFlag_65" localSheetId="6">#REF!</definedName>
    <definedName name="RedFlag_65" localSheetId="7">#REF!</definedName>
    <definedName name="RedFlag_65" localSheetId="9">#REF!</definedName>
    <definedName name="RedFlag_65" localSheetId="12">#REF!</definedName>
    <definedName name="RedFlag_65">#REF!</definedName>
    <definedName name="RedFlag_66" localSheetId="13">#REF!</definedName>
    <definedName name="RedFlag_66" localSheetId="14">#REF!</definedName>
    <definedName name="RedFlag_66" localSheetId="1">#REF!</definedName>
    <definedName name="RedFlag_66" localSheetId="10">#REF!</definedName>
    <definedName name="RedFlag_66" localSheetId="2">#REF!</definedName>
    <definedName name="RedFlag_66" localSheetId="3">#REF!</definedName>
    <definedName name="RedFlag_66" localSheetId="4">#REF!</definedName>
    <definedName name="RedFlag_66" localSheetId="5">#REF!</definedName>
    <definedName name="RedFlag_66" localSheetId="6">#REF!</definedName>
    <definedName name="RedFlag_66" localSheetId="7">#REF!</definedName>
    <definedName name="RedFlag_66" localSheetId="9">#REF!</definedName>
    <definedName name="RedFlag_66" localSheetId="12">#REF!</definedName>
    <definedName name="RedFlag_66">#REF!</definedName>
    <definedName name="RedFlag_67" localSheetId="13">#REF!</definedName>
    <definedName name="RedFlag_67" localSheetId="14">#REF!</definedName>
    <definedName name="RedFlag_67" localSheetId="1">#REF!</definedName>
    <definedName name="RedFlag_67" localSheetId="10">#REF!</definedName>
    <definedName name="RedFlag_67" localSheetId="2">#REF!</definedName>
    <definedName name="RedFlag_67" localSheetId="3">#REF!</definedName>
    <definedName name="RedFlag_67" localSheetId="4">#REF!</definedName>
    <definedName name="RedFlag_67" localSheetId="5">#REF!</definedName>
    <definedName name="RedFlag_67" localSheetId="6">#REF!</definedName>
    <definedName name="RedFlag_67" localSheetId="7">#REF!</definedName>
    <definedName name="RedFlag_67" localSheetId="9">#REF!</definedName>
    <definedName name="RedFlag_67" localSheetId="12">#REF!</definedName>
    <definedName name="RedFlag_67">#REF!</definedName>
    <definedName name="RedFlag_68" localSheetId="13">#REF!</definedName>
    <definedName name="RedFlag_68" localSheetId="14">#REF!</definedName>
    <definedName name="RedFlag_68" localSheetId="1">#REF!</definedName>
    <definedName name="RedFlag_68" localSheetId="10">#REF!</definedName>
    <definedName name="RedFlag_68" localSheetId="2">#REF!</definedName>
    <definedName name="RedFlag_68" localSheetId="3">#REF!</definedName>
    <definedName name="RedFlag_68" localSheetId="4">#REF!</definedName>
    <definedName name="RedFlag_68" localSheetId="5">#REF!</definedName>
    <definedName name="RedFlag_68" localSheetId="6">#REF!</definedName>
    <definedName name="RedFlag_68" localSheetId="7">#REF!</definedName>
    <definedName name="RedFlag_68" localSheetId="9">#REF!</definedName>
    <definedName name="RedFlag_68" localSheetId="12">#REF!</definedName>
    <definedName name="RedFlag_68">#REF!</definedName>
    <definedName name="RedFlag_69" localSheetId="13">#REF!</definedName>
    <definedName name="RedFlag_69" localSheetId="14">#REF!</definedName>
    <definedName name="RedFlag_69" localSheetId="1">#REF!</definedName>
    <definedName name="RedFlag_69" localSheetId="10">#REF!</definedName>
    <definedName name="RedFlag_69" localSheetId="2">#REF!</definedName>
    <definedName name="RedFlag_69" localSheetId="3">#REF!</definedName>
    <definedName name="RedFlag_69" localSheetId="4">#REF!</definedName>
    <definedName name="RedFlag_69" localSheetId="5">#REF!</definedName>
    <definedName name="RedFlag_69" localSheetId="6">#REF!</definedName>
    <definedName name="RedFlag_69" localSheetId="7">#REF!</definedName>
    <definedName name="RedFlag_69" localSheetId="9">#REF!</definedName>
    <definedName name="RedFlag_69" localSheetId="12">#REF!</definedName>
    <definedName name="RedFlag_69">#REF!</definedName>
    <definedName name="RedFlag_70" localSheetId="13">#REF!</definedName>
    <definedName name="RedFlag_70" localSheetId="14">#REF!</definedName>
    <definedName name="RedFlag_70" localSheetId="1">#REF!</definedName>
    <definedName name="RedFlag_70" localSheetId="10">#REF!</definedName>
    <definedName name="RedFlag_70" localSheetId="2">#REF!</definedName>
    <definedName name="RedFlag_70" localSheetId="3">#REF!</definedName>
    <definedName name="RedFlag_70" localSheetId="4">#REF!</definedName>
    <definedName name="RedFlag_70" localSheetId="5">#REF!</definedName>
    <definedName name="RedFlag_70" localSheetId="6">#REF!</definedName>
    <definedName name="RedFlag_70" localSheetId="7">#REF!</definedName>
    <definedName name="RedFlag_70" localSheetId="9">#REF!</definedName>
    <definedName name="RedFlag_70" localSheetId="12">#REF!</definedName>
    <definedName name="RedFlag_70">#REF!</definedName>
    <definedName name="RedFlag_71" localSheetId="13">#REF!</definedName>
    <definedName name="RedFlag_71" localSheetId="14">#REF!</definedName>
    <definedName name="RedFlag_71" localSheetId="1">#REF!</definedName>
    <definedName name="RedFlag_71" localSheetId="10">#REF!</definedName>
    <definedName name="RedFlag_71" localSheetId="2">#REF!</definedName>
    <definedName name="RedFlag_71" localSheetId="3">#REF!</definedName>
    <definedName name="RedFlag_71" localSheetId="4">#REF!</definedName>
    <definedName name="RedFlag_71" localSheetId="5">#REF!</definedName>
    <definedName name="RedFlag_71" localSheetId="6">#REF!</definedName>
    <definedName name="RedFlag_71" localSheetId="7">#REF!</definedName>
    <definedName name="RedFlag_71" localSheetId="9">#REF!</definedName>
    <definedName name="RedFlag_71" localSheetId="12">#REF!</definedName>
    <definedName name="RedFlag_71">#REF!</definedName>
    <definedName name="RedFlag_72" localSheetId="13">#REF!</definedName>
    <definedName name="RedFlag_72" localSheetId="14">#REF!</definedName>
    <definedName name="RedFlag_72" localSheetId="1">#REF!</definedName>
    <definedName name="RedFlag_72" localSheetId="10">#REF!</definedName>
    <definedName name="RedFlag_72" localSheetId="2">#REF!</definedName>
    <definedName name="RedFlag_72" localSheetId="3">#REF!</definedName>
    <definedName name="RedFlag_72" localSheetId="4">#REF!</definedName>
    <definedName name="RedFlag_72" localSheetId="5">#REF!</definedName>
    <definedName name="RedFlag_72" localSheetId="6">#REF!</definedName>
    <definedName name="RedFlag_72" localSheetId="7">#REF!</definedName>
    <definedName name="RedFlag_72" localSheetId="9">#REF!</definedName>
    <definedName name="RedFlag_72" localSheetId="12">#REF!</definedName>
    <definedName name="RedFlag_72">#REF!</definedName>
    <definedName name="RedFlag_73" localSheetId="13">#REF!</definedName>
    <definedName name="RedFlag_73" localSheetId="14">#REF!</definedName>
    <definedName name="RedFlag_73" localSheetId="1">#REF!</definedName>
    <definedName name="RedFlag_73" localSheetId="10">#REF!</definedName>
    <definedName name="RedFlag_73" localSheetId="2">#REF!</definedName>
    <definedName name="RedFlag_73" localSheetId="3">#REF!</definedName>
    <definedName name="RedFlag_73" localSheetId="4">#REF!</definedName>
    <definedName name="RedFlag_73" localSheetId="5">#REF!</definedName>
    <definedName name="RedFlag_73" localSheetId="6">#REF!</definedName>
    <definedName name="RedFlag_73" localSheetId="7">#REF!</definedName>
    <definedName name="RedFlag_73" localSheetId="9">#REF!</definedName>
    <definedName name="RedFlag_73" localSheetId="12">#REF!</definedName>
    <definedName name="RedFlag_73">#REF!</definedName>
    <definedName name="RedFlag_74" localSheetId="13">#REF!</definedName>
    <definedName name="RedFlag_74" localSheetId="14">#REF!</definedName>
    <definedName name="RedFlag_74" localSheetId="1">#REF!</definedName>
    <definedName name="RedFlag_74" localSheetId="10">#REF!</definedName>
    <definedName name="RedFlag_74" localSheetId="2">#REF!</definedName>
    <definedName name="RedFlag_74" localSheetId="3">#REF!</definedName>
    <definedName name="RedFlag_74" localSheetId="4">#REF!</definedName>
    <definedName name="RedFlag_74" localSheetId="5">#REF!</definedName>
    <definedName name="RedFlag_74" localSheetId="6">#REF!</definedName>
    <definedName name="RedFlag_74" localSheetId="7">#REF!</definedName>
    <definedName name="RedFlag_74" localSheetId="9">#REF!</definedName>
    <definedName name="RedFlag_74" localSheetId="12">#REF!</definedName>
    <definedName name="RedFlag_74">#REF!</definedName>
    <definedName name="RedFlag_75" localSheetId="13">#REF!</definedName>
    <definedName name="RedFlag_75" localSheetId="14">#REF!</definedName>
    <definedName name="RedFlag_75" localSheetId="1">#REF!</definedName>
    <definedName name="RedFlag_75" localSheetId="10">#REF!</definedName>
    <definedName name="RedFlag_75" localSheetId="2">#REF!</definedName>
    <definedName name="RedFlag_75" localSheetId="3">#REF!</definedName>
    <definedName name="RedFlag_75" localSheetId="4">#REF!</definedName>
    <definedName name="RedFlag_75" localSheetId="5">#REF!</definedName>
    <definedName name="RedFlag_75" localSheetId="6">#REF!</definedName>
    <definedName name="RedFlag_75" localSheetId="7">#REF!</definedName>
    <definedName name="RedFlag_75" localSheetId="9">#REF!</definedName>
    <definedName name="RedFlag_75" localSheetId="12">#REF!</definedName>
    <definedName name="RedFlag_75">#REF!</definedName>
    <definedName name="RedFlag_76" localSheetId="13">#REF!</definedName>
    <definedName name="RedFlag_76" localSheetId="14">#REF!</definedName>
    <definedName name="RedFlag_76" localSheetId="1">#REF!</definedName>
    <definedName name="RedFlag_76" localSheetId="10">#REF!</definedName>
    <definedName name="RedFlag_76" localSheetId="2">#REF!</definedName>
    <definedName name="RedFlag_76" localSheetId="3">#REF!</definedName>
    <definedName name="RedFlag_76" localSheetId="4">#REF!</definedName>
    <definedName name="RedFlag_76" localSheetId="5">#REF!</definedName>
    <definedName name="RedFlag_76" localSheetId="6">#REF!</definedName>
    <definedName name="RedFlag_76" localSheetId="7">#REF!</definedName>
    <definedName name="RedFlag_76" localSheetId="9">#REF!</definedName>
    <definedName name="RedFlag_76" localSheetId="12">#REF!</definedName>
    <definedName name="RedFlag_76">#REF!</definedName>
    <definedName name="RedFlag_77" localSheetId="13">#REF!</definedName>
    <definedName name="RedFlag_77" localSheetId="14">#REF!</definedName>
    <definedName name="RedFlag_77" localSheetId="1">#REF!</definedName>
    <definedName name="RedFlag_77" localSheetId="10">#REF!</definedName>
    <definedName name="RedFlag_77" localSheetId="2">#REF!</definedName>
    <definedName name="RedFlag_77" localSheetId="3">#REF!</definedName>
    <definedName name="RedFlag_77" localSheetId="4">#REF!</definedName>
    <definedName name="RedFlag_77" localSheetId="5">#REF!</definedName>
    <definedName name="RedFlag_77" localSheetId="6">#REF!</definedName>
    <definedName name="RedFlag_77" localSheetId="7">#REF!</definedName>
    <definedName name="RedFlag_77" localSheetId="9">#REF!</definedName>
    <definedName name="RedFlag_77" localSheetId="12">#REF!</definedName>
    <definedName name="RedFlag_77">#REF!</definedName>
    <definedName name="RedFlag_78" localSheetId="13">#REF!</definedName>
    <definedName name="RedFlag_78" localSheetId="14">#REF!</definedName>
    <definedName name="RedFlag_78" localSheetId="1">#REF!</definedName>
    <definedName name="RedFlag_78" localSheetId="10">#REF!</definedName>
    <definedName name="RedFlag_78" localSheetId="2">#REF!</definedName>
    <definedName name="RedFlag_78" localSheetId="3">#REF!</definedName>
    <definedName name="RedFlag_78" localSheetId="4">#REF!</definedName>
    <definedName name="RedFlag_78" localSheetId="5">#REF!</definedName>
    <definedName name="RedFlag_78" localSheetId="6">#REF!</definedName>
    <definedName name="RedFlag_78" localSheetId="7">#REF!</definedName>
    <definedName name="RedFlag_78" localSheetId="9">#REF!</definedName>
    <definedName name="RedFlag_78" localSheetId="12">#REF!</definedName>
    <definedName name="RedFlag_78">#REF!</definedName>
    <definedName name="RedFlag_79" localSheetId="13">#REF!</definedName>
    <definedName name="RedFlag_79" localSheetId="14">#REF!</definedName>
    <definedName name="RedFlag_79" localSheetId="1">#REF!</definedName>
    <definedName name="RedFlag_79" localSheetId="10">#REF!</definedName>
    <definedName name="RedFlag_79" localSheetId="2">#REF!</definedName>
    <definedName name="RedFlag_79" localSheetId="3">#REF!</definedName>
    <definedName name="RedFlag_79" localSheetId="4">#REF!</definedName>
    <definedName name="RedFlag_79" localSheetId="5">#REF!</definedName>
    <definedName name="RedFlag_79" localSheetId="6">#REF!</definedName>
    <definedName name="RedFlag_79" localSheetId="7">#REF!</definedName>
    <definedName name="RedFlag_79" localSheetId="9">#REF!</definedName>
    <definedName name="RedFlag_79" localSheetId="12">#REF!</definedName>
    <definedName name="RedFlag_79">#REF!</definedName>
    <definedName name="RedFlag_80" localSheetId="13">#REF!</definedName>
    <definedName name="RedFlag_80" localSheetId="14">#REF!</definedName>
    <definedName name="RedFlag_80" localSheetId="1">#REF!</definedName>
    <definedName name="RedFlag_80" localSheetId="10">#REF!</definedName>
    <definedName name="RedFlag_80" localSheetId="2">#REF!</definedName>
    <definedName name="RedFlag_80" localSheetId="3">#REF!</definedName>
    <definedName name="RedFlag_80" localSheetId="4">#REF!</definedName>
    <definedName name="RedFlag_80" localSheetId="5">#REF!</definedName>
    <definedName name="RedFlag_80" localSheetId="6">#REF!</definedName>
    <definedName name="RedFlag_80" localSheetId="7">#REF!</definedName>
    <definedName name="RedFlag_80" localSheetId="9">#REF!</definedName>
    <definedName name="RedFlag_80" localSheetId="12">#REF!</definedName>
    <definedName name="RedFlag_80">#REF!</definedName>
    <definedName name="RedFlag_81" localSheetId="13">#REF!</definedName>
    <definedName name="RedFlag_81" localSheetId="14">#REF!</definedName>
    <definedName name="RedFlag_81" localSheetId="1">#REF!</definedName>
    <definedName name="RedFlag_81" localSheetId="10">#REF!</definedName>
    <definedName name="RedFlag_81" localSheetId="2">#REF!</definedName>
    <definedName name="RedFlag_81" localSheetId="3">#REF!</definedName>
    <definedName name="RedFlag_81" localSheetId="4">#REF!</definedName>
    <definedName name="RedFlag_81" localSheetId="5">#REF!</definedName>
    <definedName name="RedFlag_81" localSheetId="6">#REF!</definedName>
    <definedName name="RedFlag_81" localSheetId="7">#REF!</definedName>
    <definedName name="RedFlag_81" localSheetId="9">#REF!</definedName>
    <definedName name="RedFlag_81" localSheetId="12">#REF!</definedName>
    <definedName name="RedFlag_81">#REF!</definedName>
    <definedName name="RedFlag_82" localSheetId="13">#REF!</definedName>
    <definedName name="RedFlag_82" localSheetId="14">#REF!</definedName>
    <definedName name="RedFlag_82" localSheetId="1">#REF!</definedName>
    <definedName name="RedFlag_82" localSheetId="10">#REF!</definedName>
    <definedName name="RedFlag_82" localSheetId="2">#REF!</definedName>
    <definedName name="RedFlag_82" localSheetId="3">#REF!</definedName>
    <definedName name="RedFlag_82" localSheetId="4">#REF!</definedName>
    <definedName name="RedFlag_82" localSheetId="5">#REF!</definedName>
    <definedName name="RedFlag_82" localSheetId="6">#REF!</definedName>
    <definedName name="RedFlag_82" localSheetId="7">#REF!</definedName>
    <definedName name="RedFlag_82" localSheetId="9">#REF!</definedName>
    <definedName name="RedFlag_82" localSheetId="12">#REF!</definedName>
    <definedName name="RedFlag_82">#REF!</definedName>
    <definedName name="RedFlag_83" localSheetId="13">#REF!</definedName>
    <definedName name="RedFlag_83" localSheetId="14">#REF!</definedName>
    <definedName name="RedFlag_83" localSheetId="1">#REF!</definedName>
    <definedName name="RedFlag_83" localSheetId="10">#REF!</definedName>
    <definedName name="RedFlag_83" localSheetId="2">#REF!</definedName>
    <definedName name="RedFlag_83" localSheetId="3">#REF!</definedName>
    <definedName name="RedFlag_83" localSheetId="4">#REF!</definedName>
    <definedName name="RedFlag_83" localSheetId="5">#REF!</definedName>
    <definedName name="RedFlag_83" localSheetId="6">#REF!</definedName>
    <definedName name="RedFlag_83" localSheetId="7">#REF!</definedName>
    <definedName name="RedFlag_83" localSheetId="9">#REF!</definedName>
    <definedName name="RedFlag_83" localSheetId="12">#REF!</definedName>
    <definedName name="RedFlag_83">#REF!</definedName>
    <definedName name="RedFlag_84" localSheetId="13">#REF!</definedName>
    <definedName name="RedFlag_84" localSheetId="14">#REF!</definedName>
    <definedName name="RedFlag_84" localSheetId="1">#REF!</definedName>
    <definedName name="RedFlag_84" localSheetId="10">#REF!</definedName>
    <definedName name="RedFlag_84" localSheetId="2">#REF!</definedName>
    <definedName name="RedFlag_84" localSheetId="3">#REF!</definedName>
    <definedName name="RedFlag_84" localSheetId="4">#REF!</definedName>
    <definedName name="RedFlag_84" localSheetId="5">#REF!</definedName>
    <definedName name="RedFlag_84" localSheetId="6">#REF!</definedName>
    <definedName name="RedFlag_84" localSheetId="7">#REF!</definedName>
    <definedName name="RedFlag_84" localSheetId="9">#REF!</definedName>
    <definedName name="RedFlag_84" localSheetId="12">#REF!</definedName>
    <definedName name="RedFlag_84">#REF!</definedName>
    <definedName name="RedFlag_85" localSheetId="13">#REF!</definedName>
    <definedName name="RedFlag_85" localSheetId="14">#REF!</definedName>
    <definedName name="RedFlag_85" localSheetId="1">#REF!</definedName>
    <definedName name="RedFlag_85" localSheetId="10">#REF!</definedName>
    <definedName name="RedFlag_85" localSheetId="2">#REF!</definedName>
    <definedName name="RedFlag_85" localSheetId="3">#REF!</definedName>
    <definedName name="RedFlag_85" localSheetId="4">#REF!</definedName>
    <definedName name="RedFlag_85" localSheetId="5">#REF!</definedName>
    <definedName name="RedFlag_85" localSheetId="6">#REF!</definedName>
    <definedName name="RedFlag_85" localSheetId="7">#REF!</definedName>
    <definedName name="RedFlag_85" localSheetId="9">#REF!</definedName>
    <definedName name="RedFlag_85" localSheetId="12">#REF!</definedName>
    <definedName name="RedFlag_85">#REF!</definedName>
    <definedName name="RedFlag_86" localSheetId="13">#REF!</definedName>
    <definedName name="RedFlag_86" localSheetId="14">#REF!</definedName>
    <definedName name="RedFlag_86" localSheetId="1">#REF!</definedName>
    <definedName name="RedFlag_86" localSheetId="10">#REF!</definedName>
    <definedName name="RedFlag_86" localSheetId="2">#REF!</definedName>
    <definedName name="RedFlag_86" localSheetId="3">#REF!</definedName>
    <definedName name="RedFlag_86" localSheetId="4">#REF!</definedName>
    <definedName name="RedFlag_86" localSheetId="5">#REF!</definedName>
    <definedName name="RedFlag_86" localSheetId="6">#REF!</definedName>
    <definedName name="RedFlag_86" localSheetId="7">#REF!</definedName>
    <definedName name="RedFlag_86" localSheetId="9">#REF!</definedName>
    <definedName name="RedFlag_86" localSheetId="12">#REF!</definedName>
    <definedName name="RedFlag_86">#REF!</definedName>
    <definedName name="RedFlag_87" localSheetId="13">#REF!</definedName>
    <definedName name="RedFlag_87" localSheetId="14">#REF!</definedName>
    <definedName name="RedFlag_87" localSheetId="1">#REF!</definedName>
    <definedName name="RedFlag_87" localSheetId="10">#REF!</definedName>
    <definedName name="RedFlag_87" localSheetId="2">#REF!</definedName>
    <definedName name="RedFlag_87" localSheetId="3">#REF!</definedName>
    <definedName name="RedFlag_87" localSheetId="4">#REF!</definedName>
    <definedName name="RedFlag_87" localSheetId="5">#REF!</definedName>
    <definedName name="RedFlag_87" localSheetId="6">#REF!</definedName>
    <definedName name="RedFlag_87" localSheetId="7">#REF!</definedName>
    <definedName name="RedFlag_87" localSheetId="9">#REF!</definedName>
    <definedName name="RedFlag_87" localSheetId="12">#REF!</definedName>
    <definedName name="RedFlag_87">#REF!</definedName>
    <definedName name="RedFlag_88" localSheetId="13">#REF!</definedName>
    <definedName name="RedFlag_88" localSheetId="14">#REF!</definedName>
    <definedName name="RedFlag_88" localSheetId="1">#REF!</definedName>
    <definedName name="RedFlag_88" localSheetId="10">#REF!</definedName>
    <definedName name="RedFlag_88" localSheetId="2">#REF!</definedName>
    <definedName name="RedFlag_88" localSheetId="3">#REF!</definedName>
    <definedName name="RedFlag_88" localSheetId="4">#REF!</definedName>
    <definedName name="RedFlag_88" localSheetId="5">#REF!</definedName>
    <definedName name="RedFlag_88" localSheetId="6">#REF!</definedName>
    <definedName name="RedFlag_88" localSheetId="7">#REF!</definedName>
    <definedName name="RedFlag_88" localSheetId="9">#REF!</definedName>
    <definedName name="RedFlag_88" localSheetId="12">#REF!</definedName>
    <definedName name="RedFlag_88">#REF!</definedName>
    <definedName name="RedFlag_89" localSheetId="13">#REF!</definedName>
    <definedName name="RedFlag_89" localSheetId="14">#REF!</definedName>
    <definedName name="RedFlag_89" localSheetId="1">#REF!</definedName>
    <definedName name="RedFlag_89" localSheetId="10">#REF!</definedName>
    <definedName name="RedFlag_89" localSheetId="2">#REF!</definedName>
    <definedName name="RedFlag_89" localSheetId="3">#REF!</definedName>
    <definedName name="RedFlag_89" localSheetId="4">#REF!</definedName>
    <definedName name="RedFlag_89" localSheetId="5">#REF!</definedName>
    <definedName name="RedFlag_89" localSheetId="6">#REF!</definedName>
    <definedName name="RedFlag_89" localSheetId="7">#REF!</definedName>
    <definedName name="RedFlag_89" localSheetId="9">#REF!</definedName>
    <definedName name="RedFlag_89" localSheetId="12">#REF!</definedName>
    <definedName name="RedFlag_89">#REF!</definedName>
    <definedName name="RedFlag_90" localSheetId="13">#REF!</definedName>
    <definedName name="RedFlag_90" localSheetId="14">#REF!</definedName>
    <definedName name="RedFlag_90" localSheetId="1">#REF!</definedName>
    <definedName name="RedFlag_90" localSheetId="10">#REF!</definedName>
    <definedName name="RedFlag_90" localSheetId="2">#REF!</definedName>
    <definedName name="RedFlag_90" localSheetId="3">#REF!</definedName>
    <definedName name="RedFlag_90" localSheetId="4">#REF!</definedName>
    <definedName name="RedFlag_90" localSheetId="5">#REF!</definedName>
    <definedName name="RedFlag_90" localSheetId="6">#REF!</definedName>
    <definedName name="RedFlag_90" localSheetId="7">#REF!</definedName>
    <definedName name="RedFlag_90" localSheetId="9">#REF!</definedName>
    <definedName name="RedFlag_90" localSheetId="12">#REF!</definedName>
    <definedName name="RedFlag_90">#REF!</definedName>
    <definedName name="RedFlag_91" localSheetId="13">#REF!</definedName>
    <definedName name="RedFlag_91" localSheetId="14">#REF!</definedName>
    <definedName name="RedFlag_91" localSheetId="1">#REF!</definedName>
    <definedName name="RedFlag_91" localSheetId="10">#REF!</definedName>
    <definedName name="RedFlag_91" localSheetId="2">#REF!</definedName>
    <definedName name="RedFlag_91" localSheetId="3">#REF!</definedName>
    <definedName name="RedFlag_91" localSheetId="4">#REF!</definedName>
    <definedName name="RedFlag_91" localSheetId="5">#REF!</definedName>
    <definedName name="RedFlag_91" localSheetId="6">#REF!</definedName>
    <definedName name="RedFlag_91" localSheetId="7">#REF!</definedName>
    <definedName name="RedFlag_91" localSheetId="9">#REF!</definedName>
    <definedName name="RedFlag_91" localSheetId="12">#REF!</definedName>
    <definedName name="RedFlag_91">#REF!</definedName>
    <definedName name="RedFlag_92" localSheetId="13">#REF!</definedName>
    <definedName name="RedFlag_92" localSheetId="14">#REF!</definedName>
    <definedName name="RedFlag_92" localSheetId="1">#REF!</definedName>
    <definedName name="RedFlag_92" localSheetId="10">#REF!</definedName>
    <definedName name="RedFlag_92" localSheetId="2">#REF!</definedName>
    <definedName name="RedFlag_92" localSheetId="3">#REF!</definedName>
    <definedName name="RedFlag_92" localSheetId="4">#REF!</definedName>
    <definedName name="RedFlag_92" localSheetId="5">#REF!</definedName>
    <definedName name="RedFlag_92" localSheetId="6">#REF!</definedName>
    <definedName name="RedFlag_92" localSheetId="7">#REF!</definedName>
    <definedName name="RedFlag_92" localSheetId="9">#REF!</definedName>
    <definedName name="RedFlag_92" localSheetId="12">#REF!</definedName>
    <definedName name="RedFlag_92">#REF!</definedName>
    <definedName name="RedFlag_93" localSheetId="13">#REF!</definedName>
    <definedName name="RedFlag_93" localSheetId="14">#REF!</definedName>
    <definedName name="RedFlag_93" localSheetId="1">#REF!</definedName>
    <definedName name="RedFlag_93" localSheetId="10">#REF!</definedName>
    <definedName name="RedFlag_93" localSheetId="2">#REF!</definedName>
    <definedName name="RedFlag_93" localSheetId="3">#REF!</definedName>
    <definedName name="RedFlag_93" localSheetId="4">#REF!</definedName>
    <definedName name="RedFlag_93" localSheetId="5">#REF!</definedName>
    <definedName name="RedFlag_93" localSheetId="6">#REF!</definedName>
    <definedName name="RedFlag_93" localSheetId="7">#REF!</definedName>
    <definedName name="RedFlag_93" localSheetId="9">#REF!</definedName>
    <definedName name="RedFlag_93" localSheetId="12">#REF!</definedName>
    <definedName name="RedFlag_93">#REF!</definedName>
    <definedName name="RedFlag_94" localSheetId="13">#REF!</definedName>
    <definedName name="RedFlag_94" localSheetId="14">#REF!</definedName>
    <definedName name="RedFlag_94" localSheetId="1">#REF!</definedName>
    <definedName name="RedFlag_94" localSheetId="10">#REF!</definedName>
    <definedName name="RedFlag_94" localSheetId="2">#REF!</definedName>
    <definedName name="RedFlag_94" localSheetId="3">#REF!</definedName>
    <definedName name="RedFlag_94" localSheetId="4">#REF!</definedName>
    <definedName name="RedFlag_94" localSheetId="5">#REF!</definedName>
    <definedName name="RedFlag_94" localSheetId="6">#REF!</definedName>
    <definedName name="RedFlag_94" localSheetId="7">#REF!</definedName>
    <definedName name="RedFlag_94" localSheetId="9">#REF!</definedName>
    <definedName name="RedFlag_94" localSheetId="12">#REF!</definedName>
    <definedName name="RedFlag_94">#REF!</definedName>
    <definedName name="sda" localSheetId="13" hidden="1">{"'Lennar U.S. Partners'!$A$1:$N$53"}</definedName>
    <definedName name="sda" localSheetId="14" hidden="1">{"'Lennar U.S. Partners'!$A$1:$N$53"}</definedName>
    <definedName name="sda" localSheetId="1">#REF!</definedName>
    <definedName name="sda" localSheetId="10" hidden="1">{"'Lennar U.S. Partners'!$A$1:$N$53"}</definedName>
    <definedName name="sda" localSheetId="2">#REF!</definedName>
    <definedName name="sda" localSheetId="3">#REF!</definedName>
    <definedName name="sda" localSheetId="4">#REF!</definedName>
    <definedName name="sda" localSheetId="5" hidden="1">{"'Lennar U.S. Partners'!$A$1:$N$53"}</definedName>
    <definedName name="sda" localSheetId="6">#REF!</definedName>
    <definedName name="sda" localSheetId="7" hidden="1">{"'Lennar U.S. Partners'!$A$1:$N$53"}</definedName>
    <definedName name="sda" localSheetId="9" hidden="1">{"'Lennar U.S. Partners'!$A$1:$N$53"}</definedName>
    <definedName name="sda">#REF!</definedName>
    <definedName name="specMTM" localSheetId="13">#REF!</definedName>
    <definedName name="specMTM" localSheetId="14">#REF!</definedName>
    <definedName name="specMTM" localSheetId="1">#REF!</definedName>
    <definedName name="specMTM" localSheetId="10">#REF!</definedName>
    <definedName name="specMTM" localSheetId="2">#REF!</definedName>
    <definedName name="specMTM" localSheetId="3">#REF!</definedName>
    <definedName name="specMTM" localSheetId="4">#REF!</definedName>
    <definedName name="specMTM" localSheetId="5">#REF!</definedName>
    <definedName name="specMTM" localSheetId="6">#REF!</definedName>
    <definedName name="specMTM" localSheetId="7">#REF!</definedName>
    <definedName name="specMTM" localSheetId="9">#REF!</definedName>
    <definedName name="specMTM" localSheetId="12">#REF!</definedName>
    <definedName name="specMTM">#REF!</definedName>
    <definedName name="Spot">[12]Portfolio!$F$15</definedName>
    <definedName name="StDenis">#N/A</definedName>
    <definedName name="StDenis_10">#N/A</definedName>
    <definedName name="StDenis_11">#N/A</definedName>
    <definedName name="StDenis_12">#N/A</definedName>
    <definedName name="StDenis_14">#N/A</definedName>
    <definedName name="StDenis_15">#N/A</definedName>
    <definedName name="StDenis_16">#N/A</definedName>
    <definedName name="StDenis_17">#N/A</definedName>
    <definedName name="StDenis_2">#N/A</definedName>
    <definedName name="StDenis_3">#N/A</definedName>
    <definedName name="StDenis_4">#N/A</definedName>
    <definedName name="StDenis_5">#N/A</definedName>
    <definedName name="StDenis_6">#N/A</definedName>
    <definedName name="StDenis_7">#N/A</definedName>
    <definedName name="StDenis_8">#N/A</definedName>
    <definedName name="StDenis_9">#N/A</definedName>
    <definedName name="Stop">#N/A</definedName>
    <definedName name="Stop_10">#N/A</definedName>
    <definedName name="Stop_11">#N/A</definedName>
    <definedName name="Stop_12">#N/A</definedName>
    <definedName name="Stop_14">#N/A</definedName>
    <definedName name="Stop_15">#N/A</definedName>
    <definedName name="Stop_16">#N/A</definedName>
    <definedName name="Stop_17">#N/A</definedName>
    <definedName name="Stop_2">#N/A</definedName>
    <definedName name="Stop_3">#N/A</definedName>
    <definedName name="Stop_4">#N/A</definedName>
    <definedName name="Stop_5">#N/A</definedName>
    <definedName name="Stop_6">#N/A</definedName>
    <definedName name="Stop_7">#N/A</definedName>
    <definedName name="Stop_8">#N/A</definedName>
    <definedName name="Stop_9">#N/A</definedName>
    <definedName name="TEHMTM" localSheetId="13">#REF!</definedName>
    <definedName name="TEHMTM" localSheetId="14">#REF!</definedName>
    <definedName name="TEHMTM" localSheetId="1">#REF!</definedName>
    <definedName name="TEHMTM" localSheetId="10">#REF!</definedName>
    <definedName name="TEHMTM" localSheetId="2">#REF!</definedName>
    <definedName name="TEHMTM" localSheetId="3">#REF!</definedName>
    <definedName name="TEHMTM" localSheetId="4">#REF!</definedName>
    <definedName name="TEHMTM" localSheetId="5">#REF!</definedName>
    <definedName name="TEHMTM" localSheetId="6">#REF!</definedName>
    <definedName name="TEHMTM" localSheetId="7">#REF!</definedName>
    <definedName name="TEHMTM" localSheetId="9">#REF!</definedName>
    <definedName name="TEHMTM" localSheetId="12">#REF!</definedName>
    <definedName name="TEHMTM">#REF!</definedName>
    <definedName name="template" localSheetId="13" hidden="1">{"'Lennar U.S. Partners'!$A$1:$N$53"}</definedName>
    <definedName name="template" localSheetId="14" hidden="1">{"'Lennar U.S. Partners'!$A$1:$N$53"}</definedName>
    <definedName name="template" localSheetId="1" hidden="1">{"'Lennar U.S. Partners'!$A$1:$N$53"}</definedName>
    <definedName name="template" localSheetId="10" hidden="1">{"'Lennar U.S. Partners'!$A$1:$N$53"}</definedName>
    <definedName name="template" localSheetId="2" hidden="1">{"'Lennar U.S. Partners'!$A$1:$N$53"}</definedName>
    <definedName name="template" localSheetId="3" hidden="1">{"'Lennar U.S. Partners'!$A$1:$N$53"}</definedName>
    <definedName name="template" localSheetId="4" hidden="1">{"'Lennar U.S. Partners'!$A$1:$N$53"}</definedName>
    <definedName name="template" localSheetId="5" hidden="1">{"'Lennar U.S. Partners'!$A$1:$N$53"}</definedName>
    <definedName name="template" localSheetId="6" hidden="1">{"'Lennar U.S. Partners'!$A$1:$N$53"}</definedName>
    <definedName name="template" localSheetId="7" hidden="1">{"'Lennar U.S. Partners'!$A$1:$N$53"}</definedName>
    <definedName name="template" localSheetId="9" hidden="1">{"'Lennar U.S. Partners'!$A$1:$N$53"}</definedName>
    <definedName name="template" hidden="1">{"'Lennar U.S. Partners'!$A$1:$N$53"}</definedName>
    <definedName name="test">#N/A</definedName>
    <definedName name="test_10">#N/A</definedName>
    <definedName name="test_11">#N/A</definedName>
    <definedName name="test_12">#N/A</definedName>
    <definedName name="test_14">#N/A</definedName>
    <definedName name="test_15">#N/A</definedName>
    <definedName name="test_16">#N/A</definedName>
    <definedName name="test_17">#N/A</definedName>
    <definedName name="test_2">#N/A</definedName>
    <definedName name="test_3">#N/A</definedName>
    <definedName name="test_4">#N/A</definedName>
    <definedName name="test_5">#N/A</definedName>
    <definedName name="test_6">#N/A</definedName>
    <definedName name="test_7">#N/A</definedName>
    <definedName name="test_8">#N/A</definedName>
    <definedName name="test_9">#N/A</definedName>
    <definedName name="test1">#N/A</definedName>
    <definedName name="test1_10">#N/A</definedName>
    <definedName name="test1_11">#N/A</definedName>
    <definedName name="test1_12">#N/A</definedName>
    <definedName name="test1_14">#N/A</definedName>
    <definedName name="test1_15">#N/A</definedName>
    <definedName name="test1_16">#N/A</definedName>
    <definedName name="test1_17">#N/A</definedName>
    <definedName name="test1_2">#N/A</definedName>
    <definedName name="test1_3">#N/A</definedName>
    <definedName name="test1_4">#N/A</definedName>
    <definedName name="test1_5">#N/A</definedName>
    <definedName name="test1_6">#N/A</definedName>
    <definedName name="test1_7">#N/A</definedName>
    <definedName name="test1_8">#N/A</definedName>
    <definedName name="test1_9">#N/A</definedName>
    <definedName name="test11" localSheetId="13" hidden="1">{#N/A,#N/A,FALSE,"Fund-II"}</definedName>
    <definedName name="test11" localSheetId="14" hidden="1">{#N/A,#N/A,FALSE,"Fund-II"}</definedName>
    <definedName name="test11" localSheetId="1" hidden="1">{#N/A,#N/A,FALSE,"Fund-II"}</definedName>
    <definedName name="test11" localSheetId="10" hidden="1">{#N/A,#N/A,FALSE,"Fund-II"}</definedName>
    <definedName name="test11" localSheetId="2" hidden="1">{#N/A,#N/A,FALSE,"Fund-II"}</definedName>
    <definedName name="test11" localSheetId="3" hidden="1">{#N/A,#N/A,FALSE,"Fund-II"}</definedName>
    <definedName name="test11" localSheetId="4" hidden="1">{#N/A,#N/A,FALSE,"Fund-II"}</definedName>
    <definedName name="test11" localSheetId="5" hidden="1">{#N/A,#N/A,FALSE,"Fund-II"}</definedName>
    <definedName name="test11" localSheetId="6" hidden="1">{#N/A,#N/A,FALSE,"Fund-II"}</definedName>
    <definedName name="test11" localSheetId="7" hidden="1">{#N/A,#N/A,FALSE,"Fund-II"}</definedName>
    <definedName name="test11" localSheetId="9" hidden="1">{#N/A,#N/A,FALSE,"Fund-II"}</definedName>
    <definedName name="test11" hidden="1">{#N/A,#N/A,FALSE,"Fund-II"}</definedName>
    <definedName name="Title">'[13]Fund IV Summary'!$C$1</definedName>
    <definedName name="tonitza" localSheetId="13">#REF!</definedName>
    <definedName name="tonitza" localSheetId="1">#REF!</definedName>
    <definedName name="tonitza" localSheetId="10">#REF!</definedName>
    <definedName name="tonitza" localSheetId="4">#REF!</definedName>
    <definedName name="tonitza" localSheetId="5">#REF!</definedName>
    <definedName name="tonitza" localSheetId="6">#REF!</definedName>
    <definedName name="tonitza" localSheetId="7">#REF!</definedName>
    <definedName name="tonitza" localSheetId="9">#REF!</definedName>
    <definedName name="tonitza">#REF!</definedName>
    <definedName name="tornado">#N/A</definedName>
    <definedName name="tornado_10">#N/A</definedName>
    <definedName name="tornado_11">#N/A</definedName>
    <definedName name="tornado_12">#N/A</definedName>
    <definedName name="tornado_14">#N/A</definedName>
    <definedName name="tornado_15">#N/A</definedName>
    <definedName name="tornado_16">#N/A</definedName>
    <definedName name="tornado_17">#N/A</definedName>
    <definedName name="tornado_2">#N/A</definedName>
    <definedName name="tornado_3">#N/A</definedName>
    <definedName name="tornado_4">#N/A</definedName>
    <definedName name="tornado_5">#N/A</definedName>
    <definedName name="tornado_6">#N/A</definedName>
    <definedName name="tornado_7">#N/A</definedName>
    <definedName name="tornado_8">#N/A</definedName>
    <definedName name="tornado_9">#N/A</definedName>
    <definedName name="Total_Cost" localSheetId="13">#REF!</definedName>
    <definedName name="Total_Cost" localSheetId="14">#REF!</definedName>
    <definedName name="Total_Cost" localSheetId="1">#REF!</definedName>
    <definedName name="Total_Cost" localSheetId="10">#REF!</definedName>
    <definedName name="Total_Cost" localSheetId="2">#REF!</definedName>
    <definedName name="Total_Cost" localSheetId="3">#REF!</definedName>
    <definedName name="Total_Cost" localSheetId="4">#REF!</definedName>
    <definedName name="Total_Cost" localSheetId="5">#REF!</definedName>
    <definedName name="Total_Cost" localSheetId="6">#REF!</definedName>
    <definedName name="Total_Cost" localSheetId="7">#REF!</definedName>
    <definedName name="Total_Cost" localSheetId="9">#REF!</definedName>
    <definedName name="Total_Cost" localSheetId="12">#REF!</definedName>
    <definedName name="Total_Cost">#REF!</definedName>
    <definedName name="Total_Population" localSheetId="13">'[1]Module 6_Condensed Budget'!#REF!</definedName>
    <definedName name="Total_Population" localSheetId="14">'[1]Module 6_Condensed Budget'!#REF!</definedName>
    <definedName name="Total_Population" localSheetId="1">'[2]Module 6_Condensed Budget'!#REF!</definedName>
    <definedName name="Total_Population" localSheetId="10">'[1]Module 6_Condensed Budget'!#REF!</definedName>
    <definedName name="Total_Population" localSheetId="2">'[1]Module 6_Condensed Budget'!#REF!</definedName>
    <definedName name="Total_Population" localSheetId="3">'[1]Module 6_Condensed Budget'!#REF!</definedName>
    <definedName name="Total_Population" localSheetId="4">'[1]Module 6_Condensed Budget'!#REF!</definedName>
    <definedName name="Total_Population" localSheetId="5">'[1]Module 6_Condensed Budget'!#REF!</definedName>
    <definedName name="Total_Population" localSheetId="6">'[2]Module 6_Condensed Budget'!#REF!</definedName>
    <definedName name="Total_Population" localSheetId="7">'[1]Module 6_Condensed Budget'!#REF!</definedName>
    <definedName name="Total_Population" localSheetId="9">'[1]Module 6_Condensed Budget'!#REF!</definedName>
    <definedName name="Total_Population" localSheetId="12">'[2]Module 6_Condensed Budget'!#REF!</definedName>
    <definedName name="Total_Population">'[2]Module 6_Condensed Budget'!#REF!</definedName>
    <definedName name="Total_Print">'[14]ROLLUP _ Fund II'!$C$1:$L$17</definedName>
    <definedName name="Transp_CF" localSheetId="13">#REF!</definedName>
    <definedName name="Transp_CF" localSheetId="1">#REF!</definedName>
    <definedName name="Transp_CF" localSheetId="10">#REF!</definedName>
    <definedName name="Transp_CF" localSheetId="4">#REF!</definedName>
    <definedName name="Transp_CF" localSheetId="5">#REF!</definedName>
    <definedName name="Transp_CF" localSheetId="6">#REF!</definedName>
    <definedName name="Transp_CF" localSheetId="7">#REF!</definedName>
    <definedName name="Transp_CF" localSheetId="9">#REF!</definedName>
    <definedName name="Transp_CF">#REF!</definedName>
    <definedName name="wrn.892A._.II." localSheetId="13" hidden="1">{#N/A,#N/A,FALSE,"Fund-II"}</definedName>
    <definedName name="wrn.892A._.II." localSheetId="14" hidden="1">{#N/A,#N/A,FALSE,"Fund-II"}</definedName>
    <definedName name="wrn.892A._.II." localSheetId="1" hidden="1">{#N/A,#N/A,FALSE,"Fund-II"}</definedName>
    <definedName name="wrn.892A._.II." localSheetId="10" hidden="1">{#N/A,#N/A,FALSE,"Fund-II"}</definedName>
    <definedName name="wrn.892A._.II." localSheetId="2" hidden="1">{#N/A,#N/A,FALSE,"Fund-II"}</definedName>
    <definedName name="wrn.892A._.II." localSheetId="3" hidden="1">{#N/A,#N/A,FALSE,"Fund-II"}</definedName>
    <definedName name="wrn.892A._.II." localSheetId="4" hidden="1">{#N/A,#N/A,FALSE,"Fund-II"}</definedName>
    <definedName name="wrn.892A._.II." localSheetId="5" hidden="1">{#N/A,#N/A,FALSE,"Fund-II"}</definedName>
    <definedName name="wrn.892A._.II." localSheetId="6" hidden="1">{#N/A,#N/A,FALSE,"Fund-II"}</definedName>
    <definedName name="wrn.892A._.II." localSheetId="7" hidden="1">{#N/A,#N/A,FALSE,"Fund-II"}</definedName>
    <definedName name="wrn.892A._.II." localSheetId="9" hidden="1">{#N/A,#N/A,FALSE,"Fund-II"}</definedName>
    <definedName name="wrn.892A._.II." hidden="1">{#N/A,#N/A,FALSE,"Fund-II"}</definedName>
    <definedName name="wrn.892B._.II." localSheetId="13" hidden="1">{#N/A,#N/A,FALSE,"Fund-II"}</definedName>
    <definedName name="wrn.892B._.II." localSheetId="14" hidden="1">{#N/A,#N/A,FALSE,"Fund-II"}</definedName>
    <definedName name="wrn.892B._.II." localSheetId="1" hidden="1">{#N/A,#N/A,FALSE,"Fund-II"}</definedName>
    <definedName name="wrn.892B._.II." localSheetId="10" hidden="1">{#N/A,#N/A,FALSE,"Fund-II"}</definedName>
    <definedName name="wrn.892B._.II." localSheetId="2" hidden="1">{#N/A,#N/A,FALSE,"Fund-II"}</definedName>
    <definedName name="wrn.892B._.II." localSheetId="3" hidden="1">{#N/A,#N/A,FALSE,"Fund-II"}</definedName>
    <definedName name="wrn.892B._.II." localSheetId="4" hidden="1">{#N/A,#N/A,FALSE,"Fund-II"}</definedName>
    <definedName name="wrn.892B._.II." localSheetId="5" hidden="1">{#N/A,#N/A,FALSE,"Fund-II"}</definedName>
    <definedName name="wrn.892B._.II." localSheetId="6" hidden="1">{#N/A,#N/A,FALSE,"Fund-II"}</definedName>
    <definedName name="wrn.892B._.II." localSheetId="7" hidden="1">{#N/A,#N/A,FALSE,"Fund-II"}</definedName>
    <definedName name="wrn.892B._.II." localSheetId="9" hidden="1">{#N/A,#N/A,FALSE,"Fund-II"}</definedName>
    <definedName name="wrn.892B._.II." hidden="1">{#N/A,#N/A,FALSE,"Fund-II"}</definedName>
    <definedName name="wrn.892C._.II." localSheetId="13" hidden="1">{#N/A,#N/A,FALSE,"Fund-II"}</definedName>
    <definedName name="wrn.892C._.II." localSheetId="14" hidden="1">{#N/A,#N/A,FALSE,"Fund-II"}</definedName>
    <definedName name="wrn.892C._.II." localSheetId="1" hidden="1">{#N/A,#N/A,FALSE,"Fund-II"}</definedName>
    <definedName name="wrn.892C._.II." localSheetId="10" hidden="1">{#N/A,#N/A,FALSE,"Fund-II"}</definedName>
    <definedName name="wrn.892C._.II." localSheetId="2" hidden="1">{#N/A,#N/A,FALSE,"Fund-II"}</definedName>
    <definedName name="wrn.892C._.II." localSheetId="3" hidden="1">{#N/A,#N/A,FALSE,"Fund-II"}</definedName>
    <definedName name="wrn.892C._.II." localSheetId="4" hidden="1">{#N/A,#N/A,FALSE,"Fund-II"}</definedName>
    <definedName name="wrn.892C._.II." localSheetId="5" hidden="1">{#N/A,#N/A,FALSE,"Fund-II"}</definedName>
    <definedName name="wrn.892C._.II." localSheetId="6" hidden="1">{#N/A,#N/A,FALSE,"Fund-II"}</definedName>
    <definedName name="wrn.892C._.II." localSheetId="7" hidden="1">{#N/A,#N/A,FALSE,"Fund-II"}</definedName>
    <definedName name="wrn.892C._.II." localSheetId="9" hidden="1">{#N/A,#N/A,FALSE,"Fund-II"}</definedName>
    <definedName name="wrn.892C._.II." hidden="1">{#N/A,#N/A,FALSE,"Fund-II"}</definedName>
    <definedName name="wrn.coII._.I." localSheetId="13" hidden="1">{#N/A,#N/A,FALSE,"Fund-I"}</definedName>
    <definedName name="wrn.coII._.I." localSheetId="14" hidden="1">{#N/A,#N/A,FALSE,"Fund-I"}</definedName>
    <definedName name="wrn.coII._.I." localSheetId="1" hidden="1">{#N/A,#N/A,FALSE,"Fund-I"}</definedName>
    <definedName name="wrn.coII._.I." localSheetId="10" hidden="1">{#N/A,#N/A,FALSE,"Fund-I"}</definedName>
    <definedName name="wrn.coII._.I." localSheetId="2" hidden="1">{#N/A,#N/A,FALSE,"Fund-I"}</definedName>
    <definedName name="wrn.coII._.I." localSheetId="3" hidden="1">{#N/A,#N/A,FALSE,"Fund-I"}</definedName>
    <definedName name="wrn.coII._.I." localSheetId="4" hidden="1">{#N/A,#N/A,FALSE,"Fund-I"}</definedName>
    <definedName name="wrn.coII._.I." localSheetId="5" hidden="1">{#N/A,#N/A,FALSE,"Fund-I"}</definedName>
    <definedName name="wrn.coII._.I." localSheetId="6" hidden="1">{#N/A,#N/A,FALSE,"Fund-I"}</definedName>
    <definedName name="wrn.coII._.I." localSheetId="7" hidden="1">{#N/A,#N/A,FALSE,"Fund-I"}</definedName>
    <definedName name="wrn.coII._.I." localSheetId="9" hidden="1">{#N/A,#N/A,FALSE,"Fund-I"}</definedName>
    <definedName name="wrn.coII._.I." hidden="1">{#N/A,#N/A,FALSE,"Fund-I"}</definedName>
    <definedName name="wrn.CoIV._.II." localSheetId="13" hidden="1">{#N/A,#N/A,FALSE,"Fund-II"}</definedName>
    <definedName name="wrn.CoIV._.II." localSheetId="14" hidden="1">{#N/A,#N/A,FALSE,"Fund-II"}</definedName>
    <definedName name="wrn.CoIV._.II." localSheetId="1" hidden="1">{#N/A,#N/A,FALSE,"Fund-II"}</definedName>
    <definedName name="wrn.CoIV._.II." localSheetId="10" hidden="1">{#N/A,#N/A,FALSE,"Fund-II"}</definedName>
    <definedName name="wrn.CoIV._.II." localSheetId="2" hidden="1">{#N/A,#N/A,FALSE,"Fund-II"}</definedName>
    <definedName name="wrn.CoIV._.II." localSheetId="3" hidden="1">{#N/A,#N/A,FALSE,"Fund-II"}</definedName>
    <definedName name="wrn.CoIV._.II." localSheetId="4" hidden="1">{#N/A,#N/A,FALSE,"Fund-II"}</definedName>
    <definedName name="wrn.CoIV._.II." localSheetId="5" hidden="1">{#N/A,#N/A,FALSE,"Fund-II"}</definedName>
    <definedName name="wrn.CoIV._.II." localSheetId="6" hidden="1">{#N/A,#N/A,FALSE,"Fund-II"}</definedName>
    <definedName name="wrn.CoIV._.II." localSheetId="7" hidden="1">{#N/A,#N/A,FALSE,"Fund-II"}</definedName>
    <definedName name="wrn.CoIV._.II." localSheetId="9" hidden="1">{#N/A,#N/A,FALSE,"Fund-II"}</definedName>
    <definedName name="wrn.CoIV._.II." hidden="1">{#N/A,#N/A,FALSE,"Fund-II"}</definedName>
    <definedName name="wrn.Investors._.II." localSheetId="13" hidden="1">{#N/A,#N/A,FALSE,"Fund-II"}</definedName>
    <definedName name="wrn.Investors._.II." localSheetId="14" hidden="1">{#N/A,#N/A,FALSE,"Fund-II"}</definedName>
    <definedName name="wrn.Investors._.II." localSheetId="1" hidden="1">{#N/A,#N/A,FALSE,"Fund-II"}</definedName>
    <definedName name="wrn.Investors._.II." localSheetId="10" hidden="1">{#N/A,#N/A,FALSE,"Fund-II"}</definedName>
    <definedName name="wrn.Investors._.II." localSheetId="2" hidden="1">{#N/A,#N/A,FALSE,"Fund-II"}</definedName>
    <definedName name="wrn.Investors._.II." localSheetId="3" hidden="1">{#N/A,#N/A,FALSE,"Fund-II"}</definedName>
    <definedName name="wrn.Investors._.II." localSheetId="4" hidden="1">{#N/A,#N/A,FALSE,"Fund-II"}</definedName>
    <definedName name="wrn.Investors._.II." localSheetId="5" hidden="1">{#N/A,#N/A,FALSE,"Fund-II"}</definedName>
    <definedName name="wrn.Investors._.II." localSheetId="6" hidden="1">{#N/A,#N/A,FALSE,"Fund-II"}</definedName>
    <definedName name="wrn.Investors._.II." localSheetId="7" hidden="1">{#N/A,#N/A,FALSE,"Fund-II"}</definedName>
    <definedName name="wrn.Investors._.II." localSheetId="9" hidden="1">{#N/A,#N/A,FALSE,"Fund-II"}</definedName>
    <definedName name="wrn.Investors._.II." hidden="1">{#N/A,#N/A,FALSE,"Fund-II"}</definedName>
    <definedName name="wrn.Kuwait._.1." localSheetId="13" hidden="1">{#N/A,#N/A,FALSE,"Fund-I"}</definedName>
    <definedName name="wrn.Kuwait._.1." localSheetId="14" hidden="1">{#N/A,#N/A,FALSE,"Fund-I"}</definedName>
    <definedName name="wrn.Kuwait._.1." localSheetId="1" hidden="1">{#N/A,#N/A,FALSE,"Fund-I"}</definedName>
    <definedName name="wrn.Kuwait._.1." localSheetId="10" hidden="1">{#N/A,#N/A,FALSE,"Fund-I"}</definedName>
    <definedName name="wrn.Kuwait._.1." localSheetId="2" hidden="1">{#N/A,#N/A,FALSE,"Fund-I"}</definedName>
    <definedName name="wrn.Kuwait._.1." localSheetId="3" hidden="1">{#N/A,#N/A,FALSE,"Fund-I"}</definedName>
    <definedName name="wrn.Kuwait._.1." localSheetId="4" hidden="1">{#N/A,#N/A,FALSE,"Fund-I"}</definedName>
    <definedName name="wrn.Kuwait._.1." localSheetId="5" hidden="1">{#N/A,#N/A,FALSE,"Fund-I"}</definedName>
    <definedName name="wrn.Kuwait._.1." localSheetId="6" hidden="1">{#N/A,#N/A,FALSE,"Fund-I"}</definedName>
    <definedName name="wrn.Kuwait._.1." localSheetId="7" hidden="1">{#N/A,#N/A,FALSE,"Fund-I"}</definedName>
    <definedName name="wrn.Kuwait._.1." localSheetId="9" hidden="1">{#N/A,#N/A,FALSE,"Fund-I"}</definedName>
    <definedName name="wrn.Kuwait._.1." hidden="1">{#N/A,#N/A,FALSE,"Fund-I"}</definedName>
    <definedName name="x" localSheetId="13">#REF!</definedName>
    <definedName name="x" localSheetId="1">#REF!</definedName>
    <definedName name="x" localSheetId="10">#REF!</definedName>
    <definedName name="x" localSheetId="4">#REF!</definedName>
    <definedName name="x" localSheetId="5">#REF!</definedName>
    <definedName name="x" localSheetId="6">#REF!</definedName>
    <definedName name="x" localSheetId="7">#REF!</definedName>
    <definedName name="x" localSheetId="9">#REF!</definedName>
    <definedName name="x">#REF!</definedName>
    <definedName name="xx" localSheetId="13">#REF!</definedName>
    <definedName name="xx" localSheetId="1">#REF!</definedName>
    <definedName name="xx" localSheetId="10">#REF!</definedName>
    <definedName name="xx" localSheetId="4">#REF!</definedName>
    <definedName name="xx" localSheetId="5">#REF!</definedName>
    <definedName name="xx" localSheetId="6">#REF!</definedName>
    <definedName name="xx" localSheetId="7">#REF!</definedName>
    <definedName name="xx" localSheetId="9">#REF!</definedName>
    <definedName name="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8" i="21" l="1"/>
  <c r="S62" i="21"/>
  <c r="S61" i="21" s="1"/>
  <c r="T62" i="21"/>
  <c r="T61" i="21" s="1"/>
  <c r="S63" i="21"/>
  <c r="T63" i="21"/>
  <c r="S64" i="21"/>
  <c r="T64" i="21"/>
  <c r="U50" i="21"/>
  <c r="U51" i="21"/>
  <c r="U52" i="21"/>
  <c r="P50" i="21"/>
  <c r="Q50" i="21"/>
  <c r="R50" i="21"/>
  <c r="S50" i="21"/>
  <c r="T50" i="21"/>
  <c r="P51" i="21"/>
  <c r="Q51" i="21"/>
  <c r="R51" i="21"/>
  <c r="S51" i="21"/>
  <c r="T51" i="21"/>
  <c r="P52" i="21"/>
  <c r="Q52" i="21"/>
  <c r="R52" i="21"/>
  <c r="S52" i="21"/>
  <c r="T52" i="21"/>
  <c r="O51" i="21"/>
  <c r="O52" i="21"/>
  <c r="O50" i="21"/>
  <c r="G50" i="21"/>
  <c r="H50" i="21"/>
  <c r="I50" i="21"/>
  <c r="J50" i="21"/>
  <c r="K50" i="21"/>
  <c r="L50" i="21"/>
  <c r="G51" i="21"/>
  <c r="H51" i="21"/>
  <c r="I51" i="21"/>
  <c r="J51" i="21"/>
  <c r="K51" i="21"/>
  <c r="L51" i="21"/>
  <c r="G52" i="21"/>
  <c r="H52" i="21"/>
  <c r="I52" i="21"/>
  <c r="J52" i="21"/>
  <c r="K52" i="21"/>
  <c r="L52" i="21"/>
  <c r="F51" i="21"/>
  <c r="F52" i="21"/>
  <c r="F50" i="21"/>
  <c r="O37" i="21"/>
  <c r="R30" i="21"/>
  <c r="R29" i="21" s="1"/>
  <c r="S30" i="21"/>
  <c r="S29" i="21" s="1"/>
  <c r="T30" i="21"/>
  <c r="T29" i="21" s="1"/>
  <c r="U30" i="21"/>
  <c r="U29" i="21" s="1"/>
  <c r="R31" i="21"/>
  <c r="S31" i="21"/>
  <c r="T31" i="21"/>
  <c r="U31" i="21"/>
  <c r="R32" i="21"/>
  <c r="S32" i="21"/>
  <c r="T32" i="21"/>
  <c r="U32" i="21"/>
  <c r="G10" i="21"/>
  <c r="H10" i="21"/>
  <c r="I10" i="21"/>
  <c r="J10" i="21"/>
  <c r="K10" i="21"/>
  <c r="L10" i="21"/>
  <c r="G11" i="21"/>
  <c r="H11" i="21"/>
  <c r="I11" i="21"/>
  <c r="J11" i="21"/>
  <c r="K11" i="21"/>
  <c r="L11" i="21"/>
  <c r="G12" i="21"/>
  <c r="H12" i="21"/>
  <c r="I12" i="21"/>
  <c r="J12" i="21"/>
  <c r="K12" i="21"/>
  <c r="L12" i="21"/>
  <c r="F11" i="21"/>
  <c r="F12" i="21"/>
  <c r="F10" i="21"/>
  <c r="G57" i="28"/>
  <c r="G56" i="28"/>
  <c r="W60" i="18"/>
  <c r="W55" i="18"/>
  <c r="H55" i="18"/>
  <c r="G55" i="28"/>
  <c r="G54" i="28"/>
  <c r="P46" i="21"/>
  <c r="Q46" i="21"/>
  <c r="P47" i="21"/>
  <c r="Q47" i="21"/>
  <c r="P48" i="21"/>
  <c r="Q48" i="21"/>
  <c r="O47" i="21"/>
  <c r="O48" i="21"/>
  <c r="O46" i="21"/>
  <c r="G46" i="21"/>
  <c r="H46" i="21"/>
  <c r="I46" i="21"/>
  <c r="J46" i="21"/>
  <c r="K46" i="21"/>
  <c r="L46" i="21"/>
  <c r="G47" i="21"/>
  <c r="H47" i="21"/>
  <c r="I47" i="21"/>
  <c r="J47" i="21"/>
  <c r="K47" i="21"/>
  <c r="L47" i="21"/>
  <c r="G48" i="21"/>
  <c r="H48" i="21"/>
  <c r="I48" i="21"/>
  <c r="J48" i="21"/>
  <c r="K48" i="21"/>
  <c r="L48" i="21"/>
  <c r="F47" i="21"/>
  <c r="F48" i="21"/>
  <c r="F46" i="21"/>
  <c r="E4" i="40"/>
  <c r="F26" i="40" s="1"/>
  <c r="Q55" i="18"/>
  <c r="R55" i="18"/>
  <c r="S55" i="18"/>
  <c r="T55" i="18"/>
  <c r="Q56" i="18"/>
  <c r="R56" i="18"/>
  <c r="S56" i="18"/>
  <c r="T56" i="18"/>
  <c r="I57" i="18"/>
  <c r="J57" i="18"/>
  <c r="K57" i="18"/>
  <c r="L57" i="18"/>
  <c r="M57" i="18"/>
  <c r="N57" i="18"/>
  <c r="O57" i="18"/>
  <c r="P57" i="18"/>
  <c r="Q57" i="18"/>
  <c r="R57" i="18"/>
  <c r="S57" i="18"/>
  <c r="T57" i="18"/>
  <c r="H57" i="18"/>
  <c r="A29" i="40"/>
  <c r="A30" i="40"/>
  <c r="A31" i="40"/>
  <c r="A32" i="40"/>
  <c r="A33" i="40" s="1"/>
  <c r="A34" i="40" s="1"/>
  <c r="A35" i="40" s="1"/>
  <c r="A36" i="40" s="1"/>
  <c r="A37" i="40" s="1"/>
  <c r="A38" i="40" s="1"/>
  <c r="A39" i="40" s="1"/>
  <c r="A40" i="40" s="1"/>
  <c r="A41" i="40" s="1"/>
  <c r="A42" i="40" s="1"/>
  <c r="A43" i="40" s="1"/>
  <c r="A44" i="40" s="1"/>
  <c r="A45" i="40" s="1"/>
  <c r="A46" i="40" s="1"/>
  <c r="A47" i="40" s="1"/>
  <c r="A48" i="40" s="1"/>
  <c r="A49" i="40" s="1"/>
  <c r="A50" i="40" s="1"/>
  <c r="A51" i="40" s="1"/>
  <c r="A52" i="40" s="1"/>
  <c r="A53" i="40" s="1"/>
  <c r="A54" i="40" s="1"/>
  <c r="A55" i="40" s="1"/>
  <c r="A56" i="40" s="1"/>
  <c r="A57" i="40" s="1"/>
  <c r="A58" i="40" s="1"/>
  <c r="A59" i="40" s="1"/>
  <c r="A60" i="40" s="1"/>
  <c r="A61" i="40" s="1"/>
  <c r="A62" i="40" s="1"/>
  <c r="A63" i="40" s="1"/>
  <c r="A64" i="40" s="1"/>
  <c r="A65" i="40" s="1"/>
  <c r="A66" i="40" s="1"/>
  <c r="A67" i="40" s="1"/>
  <c r="A68" i="40" s="1"/>
  <c r="A69" i="40" s="1"/>
  <c r="A70" i="40" s="1"/>
  <c r="A71" i="40" s="1"/>
  <c r="A72" i="40" s="1"/>
  <c r="A73" i="40" s="1"/>
  <c r="A74" i="40" s="1"/>
  <c r="A75" i="40" s="1"/>
  <c r="A76" i="40" s="1"/>
  <c r="A77" i="40" s="1"/>
  <c r="A78" i="40" s="1"/>
  <c r="A79" i="40" s="1"/>
  <c r="A80" i="40" s="1"/>
  <c r="A81" i="40" s="1"/>
  <c r="A82" i="40" s="1"/>
  <c r="A83" i="40" s="1"/>
  <c r="A84" i="40" s="1"/>
  <c r="A85" i="40" s="1"/>
  <c r="A86" i="40" s="1"/>
  <c r="A87" i="40" s="1"/>
  <c r="A88" i="40" s="1"/>
  <c r="A89" i="40" s="1"/>
  <c r="A90" i="40" s="1"/>
  <c r="A91" i="40" s="1"/>
  <c r="A92" i="40" s="1"/>
  <c r="A93" i="40" s="1"/>
  <c r="A94" i="40" s="1"/>
  <c r="A95" i="40" s="1"/>
  <c r="A96" i="40" s="1"/>
  <c r="A97" i="40" s="1"/>
  <c r="A98" i="40" s="1"/>
  <c r="A99" i="40" s="1"/>
  <c r="A100" i="40" s="1"/>
  <c r="A101" i="40" s="1"/>
  <c r="A102" i="40" s="1"/>
  <c r="A103" i="40" s="1"/>
  <c r="A104" i="40" s="1"/>
  <c r="A105" i="40" s="1"/>
  <c r="A106" i="40" s="1"/>
  <c r="A107" i="40" s="1"/>
  <c r="A108" i="40" s="1"/>
  <c r="A109" i="40" s="1"/>
  <c r="A110" i="40" s="1"/>
  <c r="A111" i="40" s="1"/>
  <c r="A112" i="40" s="1"/>
  <c r="A113" i="40" s="1"/>
  <c r="A114" i="40" s="1"/>
  <c r="A115" i="40" s="1"/>
  <c r="A116" i="40" s="1"/>
  <c r="A117" i="40" s="1"/>
  <c r="A118" i="40" s="1"/>
  <c r="A119" i="40" s="1"/>
  <c r="A120" i="40" s="1"/>
  <c r="A121" i="40" s="1"/>
  <c r="A122" i="40" s="1"/>
  <c r="A123" i="40" s="1"/>
  <c r="A124" i="40" s="1"/>
  <c r="A125" i="40" s="1"/>
  <c r="A126" i="40" s="1"/>
  <c r="A127" i="40" s="1"/>
  <c r="A128" i="40" s="1"/>
  <c r="A129" i="40" s="1"/>
  <c r="A130" i="40" s="1"/>
  <c r="A131" i="40" s="1"/>
  <c r="A132" i="40" s="1"/>
  <c r="A133" i="40" s="1"/>
  <c r="A28" i="40"/>
  <c r="B27" i="40"/>
  <c r="B28" i="40" s="1"/>
  <c r="J27" i="40" s="1"/>
  <c r="J25" i="40"/>
  <c r="C25" i="40"/>
  <c r="F24" i="40"/>
  <c r="C24" i="40"/>
  <c r="F23" i="40"/>
  <c r="E21" i="40"/>
  <c r="B20" i="40"/>
  <c r="C19" i="40" s="1"/>
  <c r="C18" i="40"/>
  <c r="B15" i="40"/>
  <c r="B16" i="40" s="1"/>
  <c r="E8" i="40"/>
  <c r="G23" i="40" s="1"/>
  <c r="N4" i="40"/>
  <c r="O4" i="40" s="1"/>
  <c r="P4" i="40" s="1"/>
  <c r="Q4" i="40" s="1"/>
  <c r="R4" i="40" s="1"/>
  <c r="S4" i="40" s="1"/>
  <c r="T4" i="40" s="1"/>
  <c r="U4" i="40" s="1"/>
  <c r="I52" i="18"/>
  <c r="J52" i="18"/>
  <c r="K52" i="18"/>
  <c r="L52" i="18"/>
  <c r="M52" i="18"/>
  <c r="N52" i="18"/>
  <c r="O52" i="18"/>
  <c r="P52" i="18"/>
  <c r="Q52" i="18"/>
  <c r="R52" i="18"/>
  <c r="S52" i="18"/>
  <c r="T52" i="18"/>
  <c r="D47" i="40" l="1"/>
  <c r="D25" i="40"/>
  <c r="F25" i="40" s="1"/>
  <c r="G25" i="40" s="1"/>
  <c r="I25" i="40" s="1"/>
  <c r="E27" i="40"/>
  <c r="E28" i="40" s="1"/>
  <c r="E29" i="40" s="1"/>
  <c r="E30" i="40" s="1"/>
  <c r="E31" i="40" s="1"/>
  <c r="E32" i="40" s="1"/>
  <c r="E33" i="40" s="1"/>
  <c r="E34" i="40" s="1"/>
  <c r="E35" i="40" s="1"/>
  <c r="E36" i="40" s="1"/>
  <c r="E37" i="40" s="1"/>
  <c r="E38" i="40" s="1"/>
  <c r="E39" i="40" s="1"/>
  <c r="E40" i="40" s="1"/>
  <c r="E41" i="40" s="1"/>
  <c r="E42" i="40" s="1"/>
  <c r="E43" i="40" s="1"/>
  <c r="E44" i="40" s="1"/>
  <c r="E45" i="40" s="1"/>
  <c r="E46" i="40" s="1"/>
  <c r="E47" i="40" s="1"/>
  <c r="E48" i="40" s="1"/>
  <c r="E49" i="40" s="1"/>
  <c r="E50" i="40" s="1"/>
  <c r="E51" i="40" s="1"/>
  <c r="E52" i="40" s="1"/>
  <c r="E53" i="40" s="1"/>
  <c r="E54" i="40" s="1"/>
  <c r="E55" i="40" s="1"/>
  <c r="E56" i="40" s="1"/>
  <c r="E57" i="40" s="1"/>
  <c r="E58" i="40" s="1"/>
  <c r="E59" i="40" s="1"/>
  <c r="E60" i="40" s="1"/>
  <c r="E61" i="40" s="1"/>
  <c r="E62" i="40" s="1"/>
  <c r="E63" i="40" s="1"/>
  <c r="E64" i="40" s="1"/>
  <c r="E65" i="40" s="1"/>
  <c r="E66" i="40" s="1"/>
  <c r="E67" i="40" s="1"/>
  <c r="E68" i="40" s="1"/>
  <c r="E69" i="40" s="1"/>
  <c r="E70" i="40" s="1"/>
  <c r="E71" i="40" s="1"/>
  <c r="E72" i="40" s="1"/>
  <c r="E73" i="40" s="1"/>
  <c r="E74" i="40" s="1"/>
  <c r="E75" i="40" s="1"/>
  <c r="E76" i="40" s="1"/>
  <c r="E77" i="40" s="1"/>
  <c r="E78" i="40" s="1"/>
  <c r="E79" i="40" s="1"/>
  <c r="E80" i="40" s="1"/>
  <c r="E81" i="40" s="1"/>
  <c r="E82" i="40" s="1"/>
  <c r="E83" i="40" s="1"/>
  <c r="E84" i="40" s="1"/>
  <c r="E85" i="40" s="1"/>
  <c r="E86" i="40" s="1"/>
  <c r="E87" i="40" s="1"/>
  <c r="E88" i="40" s="1"/>
  <c r="E89" i="40" s="1"/>
  <c r="E90" i="40" s="1"/>
  <c r="E91" i="40" s="1"/>
  <c r="E92" i="40" s="1"/>
  <c r="E93" i="40" s="1"/>
  <c r="E94" i="40" s="1"/>
  <c r="E95" i="40" s="1"/>
  <c r="E96" i="40" s="1"/>
  <c r="E97" i="40" s="1"/>
  <c r="E98" i="40" s="1"/>
  <c r="E99" i="40" s="1"/>
  <c r="E100" i="40" s="1"/>
  <c r="E101" i="40" s="1"/>
  <c r="E102" i="40" s="1"/>
  <c r="E103" i="40" s="1"/>
  <c r="E104" i="40" s="1"/>
  <c r="E105" i="40" s="1"/>
  <c r="E106" i="40" s="1"/>
  <c r="E107" i="40" s="1"/>
  <c r="E108" i="40" s="1"/>
  <c r="E109" i="40" s="1"/>
  <c r="E110" i="40" s="1"/>
  <c r="E111" i="40" s="1"/>
  <c r="E112" i="40" s="1"/>
  <c r="E113" i="40" s="1"/>
  <c r="E114" i="40" s="1"/>
  <c r="E115" i="40" s="1"/>
  <c r="E116" i="40" s="1"/>
  <c r="E117" i="40" s="1"/>
  <c r="E118" i="40" s="1"/>
  <c r="E119" i="40" s="1"/>
  <c r="E120" i="40" s="1"/>
  <c r="E121" i="40" s="1"/>
  <c r="E122" i="40" s="1"/>
  <c r="E123" i="40" s="1"/>
  <c r="E124" i="40" s="1"/>
  <c r="E125" i="40" s="1"/>
  <c r="E126" i="40" s="1"/>
  <c r="E127" i="40" s="1"/>
  <c r="E128" i="40" s="1"/>
  <c r="E129" i="40" s="1"/>
  <c r="E130" i="40" s="1"/>
  <c r="E131" i="40" s="1"/>
  <c r="E132" i="40" s="1"/>
  <c r="E133" i="40" s="1"/>
  <c r="E9" i="40"/>
  <c r="H25" i="40" s="1"/>
  <c r="E26" i="40"/>
  <c r="D37" i="40"/>
  <c r="D45" i="40"/>
  <c r="B21" i="40"/>
  <c r="C20" i="40" s="1"/>
  <c r="C14" i="40"/>
  <c r="G14" i="40"/>
  <c r="G15" i="40"/>
  <c r="I15" i="40" s="1"/>
  <c r="G20" i="40"/>
  <c r="I20" i="40" s="1"/>
  <c r="B22" i="40"/>
  <c r="G21" i="40"/>
  <c r="I21" i="40" s="1"/>
  <c r="J28" i="40"/>
  <c r="C27" i="40"/>
  <c r="B29" i="40"/>
  <c r="G24" i="40"/>
  <c r="G16" i="40"/>
  <c r="I16" i="40" s="1"/>
  <c r="C15" i="40"/>
  <c r="B17" i="40"/>
  <c r="E22" i="40"/>
  <c r="F22" i="40"/>
  <c r="J26" i="40"/>
  <c r="C26" i="40"/>
  <c r="E54" i="39"/>
  <c r="I12" i="38"/>
  <c r="H12" i="38"/>
  <c r="M8" i="40" l="1"/>
  <c r="D134" i="40"/>
  <c r="F27" i="40"/>
  <c r="E134" i="40"/>
  <c r="F28" i="40"/>
  <c r="F29" i="40" s="1"/>
  <c r="F30" i="40" s="1"/>
  <c r="F31" i="40" s="1"/>
  <c r="F32" i="40" s="1"/>
  <c r="F33" i="40" s="1"/>
  <c r="F34" i="40" s="1"/>
  <c r="F35" i="40" s="1"/>
  <c r="F36" i="40" s="1"/>
  <c r="F37" i="40" s="1"/>
  <c r="F38" i="40" s="1"/>
  <c r="F39" i="40" s="1"/>
  <c r="F40" i="40" s="1"/>
  <c r="F41" i="40" s="1"/>
  <c r="F42" i="40" s="1"/>
  <c r="F43" i="40" s="1"/>
  <c r="F44" i="40" s="1"/>
  <c r="F45" i="40" s="1"/>
  <c r="F46" i="40" s="1"/>
  <c r="F47" i="40" s="1"/>
  <c r="F48" i="40" s="1"/>
  <c r="F49" i="40" s="1"/>
  <c r="F50" i="40" s="1"/>
  <c r="F51" i="40" s="1"/>
  <c r="F52" i="40" s="1"/>
  <c r="F53" i="40" s="1"/>
  <c r="F54" i="40" s="1"/>
  <c r="F55" i="40" s="1"/>
  <c r="F56" i="40" s="1"/>
  <c r="F57" i="40" s="1"/>
  <c r="F58" i="40" s="1"/>
  <c r="F59" i="40" s="1"/>
  <c r="F60" i="40" s="1"/>
  <c r="F61" i="40" s="1"/>
  <c r="F62" i="40" s="1"/>
  <c r="F63" i="40" s="1"/>
  <c r="F64" i="40" s="1"/>
  <c r="F65" i="40" s="1"/>
  <c r="F66" i="40" s="1"/>
  <c r="F67" i="40" s="1"/>
  <c r="F68" i="40" s="1"/>
  <c r="F69" i="40" s="1"/>
  <c r="F70" i="40" s="1"/>
  <c r="F71" i="40" s="1"/>
  <c r="F72" i="40" s="1"/>
  <c r="F73" i="40" s="1"/>
  <c r="F74" i="40" s="1"/>
  <c r="F75" i="40" s="1"/>
  <c r="F76" i="40" s="1"/>
  <c r="F77" i="40" s="1"/>
  <c r="F78" i="40" s="1"/>
  <c r="F79" i="40" s="1"/>
  <c r="F80" i="40" s="1"/>
  <c r="F81" i="40" s="1"/>
  <c r="F82" i="40" s="1"/>
  <c r="F83" i="40" s="1"/>
  <c r="F84" i="40" s="1"/>
  <c r="F85" i="40" s="1"/>
  <c r="F86" i="40" s="1"/>
  <c r="F87" i="40" s="1"/>
  <c r="F88" i="40" s="1"/>
  <c r="F89" i="40" s="1"/>
  <c r="F90" i="40" s="1"/>
  <c r="F91" i="40" s="1"/>
  <c r="F92" i="40" s="1"/>
  <c r="F93" i="40" s="1"/>
  <c r="F94" i="40" s="1"/>
  <c r="F95" i="40" s="1"/>
  <c r="F96" i="40" s="1"/>
  <c r="F97" i="40" s="1"/>
  <c r="F98" i="40" s="1"/>
  <c r="F99" i="40" s="1"/>
  <c r="F100" i="40" s="1"/>
  <c r="F101" i="40" s="1"/>
  <c r="F102" i="40" s="1"/>
  <c r="F103" i="40" s="1"/>
  <c r="F104" i="40" s="1"/>
  <c r="F105" i="40" s="1"/>
  <c r="F106" i="40" s="1"/>
  <c r="F107" i="40" s="1"/>
  <c r="F108" i="40" s="1"/>
  <c r="F109" i="40" s="1"/>
  <c r="F110" i="40" s="1"/>
  <c r="F111" i="40" s="1"/>
  <c r="F112" i="40" s="1"/>
  <c r="F113" i="40" s="1"/>
  <c r="F114" i="40" s="1"/>
  <c r="F115" i="40" s="1"/>
  <c r="F116" i="40" s="1"/>
  <c r="F117" i="40" s="1"/>
  <c r="F118" i="40" s="1"/>
  <c r="F119" i="40" s="1"/>
  <c r="F120" i="40" s="1"/>
  <c r="F121" i="40" s="1"/>
  <c r="F122" i="40" s="1"/>
  <c r="F123" i="40" s="1"/>
  <c r="F124" i="40" s="1"/>
  <c r="F125" i="40" s="1"/>
  <c r="F126" i="40" s="1"/>
  <c r="F127" i="40" s="1"/>
  <c r="F128" i="40" s="1"/>
  <c r="F129" i="40" s="1"/>
  <c r="F130" i="40" s="1"/>
  <c r="F131" i="40" s="1"/>
  <c r="F132" i="40" s="1"/>
  <c r="F133" i="40" s="1"/>
  <c r="K37" i="40"/>
  <c r="K49" i="40"/>
  <c r="N6" i="40" s="1"/>
  <c r="I45" i="18" s="1"/>
  <c r="I55" i="18" s="1"/>
  <c r="G27" i="40"/>
  <c r="I27" i="40" s="1"/>
  <c r="G28" i="40"/>
  <c r="I28" i="40" s="1"/>
  <c r="G26" i="40"/>
  <c r="E23" i="40"/>
  <c r="I23" i="40" s="1"/>
  <c r="I24" i="40"/>
  <c r="J29" i="40"/>
  <c r="B30" i="40"/>
  <c r="C28" i="40"/>
  <c r="B23" i="40"/>
  <c r="G22" i="40"/>
  <c r="I22" i="40" s="1"/>
  <c r="C21" i="40"/>
  <c r="B18" i="40"/>
  <c r="C16" i="40"/>
  <c r="G17" i="40"/>
  <c r="I17" i="40" s="1"/>
  <c r="E9" i="39"/>
  <c r="M8" i="39" s="1"/>
  <c r="H52" i="18" s="1"/>
  <c r="G41" i="28"/>
  <c r="V4" i="39"/>
  <c r="W4" i="39" s="1"/>
  <c r="X4" i="39" s="1"/>
  <c r="Y4" i="39" s="1"/>
  <c r="C173" i="39"/>
  <c r="C170" i="39"/>
  <c r="C171" i="39"/>
  <c r="C172" i="39"/>
  <c r="C156" i="39"/>
  <c r="C157" i="39"/>
  <c r="C158" i="39"/>
  <c r="C159" i="39"/>
  <c r="C160" i="39"/>
  <c r="C161" i="39"/>
  <c r="C162" i="39"/>
  <c r="C163" i="39"/>
  <c r="C164" i="39"/>
  <c r="C165" i="39"/>
  <c r="C166" i="39"/>
  <c r="C167" i="39"/>
  <c r="C168" i="39"/>
  <c r="C169" i="39"/>
  <c r="C145" i="39"/>
  <c r="C146" i="39"/>
  <c r="C147" i="39"/>
  <c r="C148" i="39"/>
  <c r="C149" i="39"/>
  <c r="C150" i="39"/>
  <c r="C151" i="39"/>
  <c r="C152" i="39"/>
  <c r="C153" i="39"/>
  <c r="C154" i="39"/>
  <c r="C155" i="39"/>
  <c r="C25" i="39"/>
  <c r="J25" i="39"/>
  <c r="H178" i="39"/>
  <c r="C144" i="39"/>
  <c r="E36" i="39"/>
  <c r="A31" i="39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A48" i="39" s="1"/>
  <c r="A49" i="39" s="1"/>
  <c r="A50" i="39" s="1"/>
  <c r="A51" i="39" s="1"/>
  <c r="A52" i="39" s="1"/>
  <c r="A53" i="39" s="1"/>
  <c r="A54" i="39" s="1"/>
  <c r="A55" i="39" s="1"/>
  <c r="A56" i="39" s="1"/>
  <c r="A57" i="39" s="1"/>
  <c r="A58" i="39" s="1"/>
  <c r="A59" i="39" s="1"/>
  <c r="A60" i="39" s="1"/>
  <c r="A61" i="39" s="1"/>
  <c r="A62" i="39" s="1"/>
  <c r="A63" i="39" s="1"/>
  <c r="A64" i="39" s="1"/>
  <c r="A65" i="39" s="1"/>
  <c r="A66" i="39" s="1"/>
  <c r="A67" i="39" s="1"/>
  <c r="A68" i="39" s="1"/>
  <c r="A69" i="39" s="1"/>
  <c r="A70" i="39" s="1"/>
  <c r="A71" i="39" s="1"/>
  <c r="A72" i="39" s="1"/>
  <c r="A73" i="39" s="1"/>
  <c r="A74" i="39" s="1"/>
  <c r="A75" i="39" s="1"/>
  <c r="A76" i="39" s="1"/>
  <c r="A77" i="39" s="1"/>
  <c r="A78" i="39" s="1"/>
  <c r="A79" i="39" s="1"/>
  <c r="A80" i="39" s="1"/>
  <c r="A81" i="39" s="1"/>
  <c r="A82" i="39" s="1"/>
  <c r="A83" i="39" s="1"/>
  <c r="A84" i="39" s="1"/>
  <c r="A85" i="39" s="1"/>
  <c r="A86" i="39" s="1"/>
  <c r="A87" i="39" s="1"/>
  <c r="A88" i="39" s="1"/>
  <c r="A89" i="39" s="1"/>
  <c r="A90" i="39" s="1"/>
  <c r="A91" i="39" s="1"/>
  <c r="A92" i="39" s="1"/>
  <c r="A93" i="39" s="1"/>
  <c r="A94" i="39" s="1"/>
  <c r="A95" i="39" s="1"/>
  <c r="A96" i="39" s="1"/>
  <c r="A97" i="39" s="1"/>
  <c r="A98" i="39" s="1"/>
  <c r="A99" i="39" s="1"/>
  <c r="A100" i="39" s="1"/>
  <c r="A101" i="39" s="1"/>
  <c r="A102" i="39" s="1"/>
  <c r="A103" i="39" s="1"/>
  <c r="A104" i="39" s="1"/>
  <c r="A105" i="39" s="1"/>
  <c r="A106" i="39" s="1"/>
  <c r="A107" i="39" s="1"/>
  <c r="A108" i="39" s="1"/>
  <c r="A109" i="39" s="1"/>
  <c r="A110" i="39" s="1"/>
  <c r="A111" i="39" s="1"/>
  <c r="A112" i="39" s="1"/>
  <c r="A113" i="39" s="1"/>
  <c r="A114" i="39" s="1"/>
  <c r="A115" i="39" s="1"/>
  <c r="A116" i="39" s="1"/>
  <c r="A117" i="39" s="1"/>
  <c r="A118" i="39" s="1"/>
  <c r="A119" i="39" s="1"/>
  <c r="A120" i="39" s="1"/>
  <c r="A121" i="39" s="1"/>
  <c r="A122" i="39" s="1"/>
  <c r="A123" i="39" s="1"/>
  <c r="A124" i="39" s="1"/>
  <c r="A125" i="39" s="1"/>
  <c r="A126" i="39" s="1"/>
  <c r="A127" i="39" s="1"/>
  <c r="A128" i="39" s="1"/>
  <c r="A129" i="39" s="1"/>
  <c r="A130" i="39" s="1"/>
  <c r="A131" i="39" s="1"/>
  <c r="A132" i="39" s="1"/>
  <c r="A133" i="39" s="1"/>
  <c r="A134" i="39" s="1"/>
  <c r="A135" i="39" s="1"/>
  <c r="A136" i="39" s="1"/>
  <c r="A137" i="39" s="1"/>
  <c r="A138" i="39" s="1"/>
  <c r="A139" i="39" s="1"/>
  <c r="A140" i="39" s="1"/>
  <c r="A141" i="39" s="1"/>
  <c r="A142" i="39" s="1"/>
  <c r="A143" i="39" s="1"/>
  <c r="A144" i="39" s="1"/>
  <c r="A145" i="39" s="1"/>
  <c r="A146" i="39" s="1"/>
  <c r="A147" i="39" s="1"/>
  <c r="A148" i="39" s="1"/>
  <c r="A149" i="39" s="1"/>
  <c r="A150" i="39" s="1"/>
  <c r="A151" i="39" s="1"/>
  <c r="A152" i="39" s="1"/>
  <c r="A153" i="39" s="1"/>
  <c r="A154" i="39" s="1"/>
  <c r="A155" i="39" s="1"/>
  <c r="A156" i="39" s="1"/>
  <c r="A157" i="39" s="1"/>
  <c r="A158" i="39" s="1"/>
  <c r="A159" i="39" s="1"/>
  <c r="A160" i="39" s="1"/>
  <c r="A161" i="39" s="1"/>
  <c r="A162" i="39" s="1"/>
  <c r="A163" i="39" s="1"/>
  <c r="A164" i="39" s="1"/>
  <c r="A165" i="39" s="1"/>
  <c r="A166" i="39" s="1"/>
  <c r="A167" i="39" s="1"/>
  <c r="A168" i="39" s="1"/>
  <c r="A169" i="39" s="1"/>
  <c r="A170" i="39" s="1"/>
  <c r="A171" i="39" s="1"/>
  <c r="A172" i="39" s="1"/>
  <c r="A173" i="39" s="1"/>
  <c r="C24" i="39"/>
  <c r="F23" i="39"/>
  <c r="F24" i="39" s="1"/>
  <c r="E21" i="39"/>
  <c r="F22" i="39" s="1"/>
  <c r="B20" i="39"/>
  <c r="C19" i="39" s="1"/>
  <c r="C18" i="39"/>
  <c r="B15" i="39"/>
  <c r="E8" i="39"/>
  <c r="N4" i="39"/>
  <c r="O4" i="39" s="1"/>
  <c r="P4" i="39" s="1"/>
  <c r="Q4" i="39" s="1"/>
  <c r="R4" i="39" s="1"/>
  <c r="S4" i="39" s="1"/>
  <c r="T4" i="39" s="1"/>
  <c r="U4" i="39" s="1"/>
  <c r="E44" i="35"/>
  <c r="M6" i="40" l="1"/>
  <c r="H45" i="18" s="1"/>
  <c r="G29" i="40"/>
  <c r="I29" i="40" s="1"/>
  <c r="I26" i="40"/>
  <c r="G19" i="40"/>
  <c r="I19" i="40" s="1"/>
  <c r="G18" i="40"/>
  <c r="I18" i="40" s="1"/>
  <c r="C17" i="40"/>
  <c r="C22" i="40"/>
  <c r="B24" i="40"/>
  <c r="C23" i="40" s="1"/>
  <c r="C29" i="40"/>
  <c r="J30" i="40"/>
  <c r="G30" i="40" s="1"/>
  <c r="I30" i="40" s="1"/>
  <c r="B31" i="40"/>
  <c r="H25" i="39"/>
  <c r="D37" i="39"/>
  <c r="D47" i="39"/>
  <c r="D45" i="39"/>
  <c r="F25" i="39"/>
  <c r="G25" i="39" s="1"/>
  <c r="I25" i="39" s="1"/>
  <c r="G15" i="39"/>
  <c r="I15" i="39" s="1"/>
  <c r="G23" i="39"/>
  <c r="G20" i="39"/>
  <c r="I20" i="39" s="1"/>
  <c r="G24" i="39"/>
  <c r="I24" i="39" s="1"/>
  <c r="G14" i="39"/>
  <c r="B21" i="39"/>
  <c r="B16" i="39"/>
  <c r="B27" i="39"/>
  <c r="K37" i="39"/>
  <c r="M6" i="39" s="1"/>
  <c r="H50" i="18" s="1"/>
  <c r="C14" i="39"/>
  <c r="E22" i="39"/>
  <c r="W6" i="18"/>
  <c r="P34" i="21"/>
  <c r="P35" i="21"/>
  <c r="P38" i="21"/>
  <c r="P39" i="21"/>
  <c r="P42" i="21"/>
  <c r="P43" i="21"/>
  <c r="L26" i="21"/>
  <c r="L27" i="21"/>
  <c r="G28" i="21"/>
  <c r="H28" i="21"/>
  <c r="I28" i="21"/>
  <c r="J28" i="21"/>
  <c r="K28" i="21"/>
  <c r="L28" i="21"/>
  <c r="F28" i="21"/>
  <c r="I18" i="21"/>
  <c r="I19" i="21"/>
  <c r="G20" i="21"/>
  <c r="H20" i="21"/>
  <c r="I20" i="21"/>
  <c r="F20" i="21"/>
  <c r="J14" i="21"/>
  <c r="K14" i="21"/>
  <c r="J15" i="21"/>
  <c r="K15" i="21"/>
  <c r="J16" i="21"/>
  <c r="K16" i="21"/>
  <c r="J31" i="40" l="1"/>
  <c r="G31" i="40" s="1"/>
  <c r="C30" i="40"/>
  <c r="B32" i="40"/>
  <c r="D174" i="39"/>
  <c r="L25" i="39"/>
  <c r="F26" i="39"/>
  <c r="F27" i="39" s="1"/>
  <c r="F28" i="39" s="1"/>
  <c r="F29" i="39" s="1"/>
  <c r="F30" i="39" s="1"/>
  <c r="F31" i="39" s="1"/>
  <c r="F32" i="39" s="1"/>
  <c r="F33" i="39" s="1"/>
  <c r="F34" i="39" s="1"/>
  <c r="F35" i="39" s="1"/>
  <c r="F36" i="39" s="1"/>
  <c r="F37" i="39" s="1"/>
  <c r="F38" i="39" s="1"/>
  <c r="F39" i="39" s="1"/>
  <c r="F40" i="39" s="1"/>
  <c r="F41" i="39" s="1"/>
  <c r="F42" i="39" s="1"/>
  <c r="F43" i="39" s="1"/>
  <c r="F44" i="39" s="1"/>
  <c r="F45" i="39" s="1"/>
  <c r="F46" i="39" s="1"/>
  <c r="F47" i="39" s="1"/>
  <c r="J26" i="39"/>
  <c r="C26" i="39"/>
  <c r="B28" i="39"/>
  <c r="G16" i="39"/>
  <c r="I16" i="39" s="1"/>
  <c r="C15" i="39"/>
  <c r="B17" i="39"/>
  <c r="G21" i="39"/>
  <c r="B22" i="39"/>
  <c r="C20" i="39"/>
  <c r="E23" i="39"/>
  <c r="N48" i="21"/>
  <c r="E48" i="21"/>
  <c r="D48" i="21"/>
  <c r="N47" i="21"/>
  <c r="L45" i="21"/>
  <c r="I45" i="21"/>
  <c r="H45" i="21"/>
  <c r="E47" i="21"/>
  <c r="D47" i="21"/>
  <c r="Q45" i="21"/>
  <c r="P45" i="21"/>
  <c r="N46" i="21"/>
  <c r="E46" i="21"/>
  <c r="D46" i="21"/>
  <c r="D45" i="21" s="1"/>
  <c r="O45" i="21"/>
  <c r="N45" i="21"/>
  <c r="K45" i="21"/>
  <c r="J45" i="21"/>
  <c r="G45" i="21"/>
  <c r="F45" i="21"/>
  <c r="I31" i="40" l="1"/>
  <c r="B33" i="40"/>
  <c r="J32" i="40"/>
  <c r="G32" i="40" s="1"/>
  <c r="I32" i="40" s="1"/>
  <c r="C31" i="40"/>
  <c r="G26" i="39"/>
  <c r="B29" i="39"/>
  <c r="J27" i="39"/>
  <c r="G27" i="39" s="1"/>
  <c r="I27" i="39" s="1"/>
  <c r="C27" i="39"/>
  <c r="J28" i="39"/>
  <c r="G28" i="39" s="1"/>
  <c r="I28" i="39" s="1"/>
  <c r="I21" i="39"/>
  <c r="G17" i="39"/>
  <c r="I17" i="39" s="1"/>
  <c r="C16" i="39"/>
  <c r="B18" i="39"/>
  <c r="B23" i="39"/>
  <c r="G22" i="39"/>
  <c r="I22" i="39" s="1"/>
  <c r="C21" i="39"/>
  <c r="I23" i="39"/>
  <c r="I26" i="39"/>
  <c r="E45" i="21"/>
  <c r="AB45" i="21"/>
  <c r="C32" i="40" l="1"/>
  <c r="J33" i="40"/>
  <c r="G33" i="40" s="1"/>
  <c r="I33" i="40" s="1"/>
  <c r="B34" i="40"/>
  <c r="K61" i="40"/>
  <c r="C22" i="39"/>
  <c r="B24" i="39"/>
  <c r="C23" i="39" s="1"/>
  <c r="G18" i="39"/>
  <c r="I18" i="39" s="1"/>
  <c r="G19" i="39"/>
  <c r="I19" i="39" s="1"/>
  <c r="C17" i="39"/>
  <c r="B30" i="39"/>
  <c r="C28" i="39"/>
  <c r="J29" i="39"/>
  <c r="G29" i="39" s="1"/>
  <c r="T11" i="21"/>
  <c r="R38" i="21"/>
  <c r="R39" i="21"/>
  <c r="R40" i="21"/>
  <c r="N44" i="21"/>
  <c r="E44" i="21"/>
  <c r="D44" i="21"/>
  <c r="N43" i="21"/>
  <c r="E43" i="21"/>
  <c r="D43" i="21"/>
  <c r="N42" i="21"/>
  <c r="E42" i="21"/>
  <c r="D42" i="21"/>
  <c r="D41" i="21" s="1"/>
  <c r="N41" i="21"/>
  <c r="N40" i="21"/>
  <c r="E40" i="21"/>
  <c r="D40" i="21"/>
  <c r="N39" i="21"/>
  <c r="E39" i="21"/>
  <c r="D39" i="21"/>
  <c r="N38" i="21"/>
  <c r="E38" i="21"/>
  <c r="D38" i="21"/>
  <c r="D37" i="21" s="1"/>
  <c r="N37" i="21"/>
  <c r="H32" i="18"/>
  <c r="F44" i="21" s="1"/>
  <c r="I32" i="18"/>
  <c r="G44" i="21" s="1"/>
  <c r="J32" i="18"/>
  <c r="H44" i="21" s="1"/>
  <c r="K32" i="18"/>
  <c r="I44" i="21" s="1"/>
  <c r="L32" i="18"/>
  <c r="J44" i="21" s="1"/>
  <c r="M32" i="18"/>
  <c r="K44" i="21" s="1"/>
  <c r="N32" i="18"/>
  <c r="O32" i="18"/>
  <c r="Q44" i="21" s="1"/>
  <c r="H13" i="18"/>
  <c r="I13" i="18"/>
  <c r="J13" i="18"/>
  <c r="K13" i="18"/>
  <c r="L13" i="18"/>
  <c r="M13" i="18"/>
  <c r="N13" i="18"/>
  <c r="O13" i="18"/>
  <c r="L1" i="16"/>
  <c r="O6" i="40" l="1"/>
  <c r="J45" i="18" s="1"/>
  <c r="J55" i="18" s="1"/>
  <c r="C33" i="40"/>
  <c r="B35" i="40"/>
  <c r="J34" i="40"/>
  <c r="G34" i="40" s="1"/>
  <c r="I34" i="40" s="1"/>
  <c r="J40" i="21"/>
  <c r="O40" i="21"/>
  <c r="L40" i="21"/>
  <c r="K40" i="21"/>
  <c r="I40" i="21"/>
  <c r="H40" i="21"/>
  <c r="G40" i="21"/>
  <c r="F40" i="21"/>
  <c r="O44" i="21"/>
  <c r="P44" i="21"/>
  <c r="L44" i="21"/>
  <c r="I29" i="39"/>
  <c r="J30" i="39"/>
  <c r="G30" i="39" s="1"/>
  <c r="I30" i="39" s="1"/>
  <c r="B31" i="39"/>
  <c r="C29" i="39"/>
  <c r="E41" i="21"/>
  <c r="R37" i="21"/>
  <c r="E37" i="21"/>
  <c r="R36" i="21"/>
  <c r="N36" i="21"/>
  <c r="E36" i="21"/>
  <c r="D36" i="21"/>
  <c r="R35" i="21"/>
  <c r="N35" i="21"/>
  <c r="E35" i="21"/>
  <c r="D35" i="21"/>
  <c r="S34" i="21"/>
  <c r="R34" i="21"/>
  <c r="N34" i="21"/>
  <c r="E34" i="21"/>
  <c r="D34" i="21"/>
  <c r="D33" i="21" s="1"/>
  <c r="N33" i="21"/>
  <c r="Q22" i="21"/>
  <c r="Q23" i="21"/>
  <c r="J20" i="21"/>
  <c r="L14" i="21"/>
  <c r="L15" i="21"/>
  <c r="L16" i="21"/>
  <c r="C2" i="36"/>
  <c r="D58" i="33"/>
  <c r="E48" i="33"/>
  <c r="C15" i="36"/>
  <c r="C10" i="36"/>
  <c r="C126" i="36" s="1"/>
  <c r="B36" i="40" l="1"/>
  <c r="J35" i="40"/>
  <c r="G35" i="40" s="1"/>
  <c r="C34" i="40"/>
  <c r="C30" i="39"/>
  <c r="J31" i="39"/>
  <c r="G31" i="39" s="1"/>
  <c r="B32" i="39"/>
  <c r="S33" i="21"/>
  <c r="R33" i="21"/>
  <c r="E33" i="21"/>
  <c r="I35" i="40" l="1"/>
  <c r="C35" i="40"/>
  <c r="J36" i="40"/>
  <c r="G36" i="40" s="1"/>
  <c r="I36" i="40" s="1"/>
  <c r="B37" i="40"/>
  <c r="I31" i="39"/>
  <c r="B33" i="39"/>
  <c r="C31" i="39"/>
  <c r="J32" i="39"/>
  <c r="G32" i="39" s="1"/>
  <c r="R40" i="7"/>
  <c r="C36" i="40" l="1"/>
  <c r="B38" i="40"/>
  <c r="J37" i="40"/>
  <c r="G37" i="40" s="1"/>
  <c r="B34" i="39"/>
  <c r="C32" i="39"/>
  <c r="J33" i="39"/>
  <c r="G33" i="39" s="1"/>
  <c r="I33" i="39" s="1"/>
  <c r="I32" i="39"/>
  <c r="U25" i="28"/>
  <c r="U26" i="28"/>
  <c r="R27" i="28"/>
  <c r="S27" i="28"/>
  <c r="U27" i="28"/>
  <c r="I37" i="40" l="1"/>
  <c r="L37" i="40"/>
  <c r="J38" i="40"/>
  <c r="G38" i="40" s="1"/>
  <c r="B39" i="40"/>
  <c r="C37" i="40"/>
  <c r="J34" i="39"/>
  <c r="G34" i="39" s="1"/>
  <c r="I34" i="39" s="1"/>
  <c r="B35" i="39"/>
  <c r="C33" i="39"/>
  <c r="E6" i="35"/>
  <c r="F7" i="22"/>
  <c r="C7" i="22" s="1"/>
  <c r="I38" i="40" l="1"/>
  <c r="M7" i="40"/>
  <c r="H46" i="18" s="1"/>
  <c r="H56" i="18" s="1"/>
  <c r="B40" i="40"/>
  <c r="J39" i="40"/>
  <c r="G39" i="40" s="1"/>
  <c r="I39" i="40" s="1"/>
  <c r="C38" i="40"/>
  <c r="J35" i="39"/>
  <c r="G35" i="39" s="1"/>
  <c r="I35" i="39" s="1"/>
  <c r="C34" i="39"/>
  <c r="B36" i="39"/>
  <c r="N65" i="21"/>
  <c r="C39" i="40" l="1"/>
  <c r="B41" i="40"/>
  <c r="J40" i="40"/>
  <c r="G40" i="40" s="1"/>
  <c r="I40" i="40" s="1"/>
  <c r="M9" i="40"/>
  <c r="C35" i="39"/>
  <c r="J36" i="39"/>
  <c r="G36" i="39" s="1"/>
  <c r="I36" i="39" s="1"/>
  <c r="B37" i="39"/>
  <c r="N32" i="21"/>
  <c r="E32" i="21"/>
  <c r="D32" i="21"/>
  <c r="N31" i="21"/>
  <c r="E31" i="21"/>
  <c r="D31" i="21"/>
  <c r="N30" i="21"/>
  <c r="E30" i="21"/>
  <c r="D30" i="21"/>
  <c r="N29" i="21"/>
  <c r="H40" i="18"/>
  <c r="F34" i="21" s="1"/>
  <c r="I40" i="18"/>
  <c r="G34" i="21" s="1"/>
  <c r="J40" i="18"/>
  <c r="H34" i="21" s="1"/>
  <c r="H42" i="18"/>
  <c r="F36" i="21" s="1"/>
  <c r="I42" i="18"/>
  <c r="G36" i="21" s="1"/>
  <c r="J42" i="18"/>
  <c r="H36" i="21" s="1"/>
  <c r="K42" i="18"/>
  <c r="I36" i="21" s="1"/>
  <c r="L42" i="18"/>
  <c r="J36" i="21" s="1"/>
  <c r="M42" i="18"/>
  <c r="K36" i="21" s="1"/>
  <c r="N42" i="18"/>
  <c r="L36" i="21" s="1"/>
  <c r="O42" i="18"/>
  <c r="O36" i="21" s="1"/>
  <c r="G42" i="18"/>
  <c r="G40" i="18"/>
  <c r="P3" i="36"/>
  <c r="K40" i="18" s="1"/>
  <c r="I34" i="21" s="1"/>
  <c r="O3" i="36"/>
  <c r="N3" i="36"/>
  <c r="J5" i="36"/>
  <c r="X5" i="36" s="1"/>
  <c r="H124" i="36"/>
  <c r="T3" i="36" s="1"/>
  <c r="O40" i="18" s="1"/>
  <c r="O34" i="21" s="1"/>
  <c r="H118" i="36"/>
  <c r="S3" i="36" s="1"/>
  <c r="N40" i="18" s="1"/>
  <c r="L34" i="21" s="1"/>
  <c r="H106" i="36"/>
  <c r="R3" i="36" s="1"/>
  <c r="M40" i="18" s="1"/>
  <c r="K34" i="21" s="1"/>
  <c r="H94" i="36"/>
  <c r="Q3" i="36" s="1"/>
  <c r="L40" i="18" s="1"/>
  <c r="J34" i="21" s="1"/>
  <c r="H82" i="36"/>
  <c r="H70" i="36"/>
  <c r="H58" i="36"/>
  <c r="H46" i="36"/>
  <c r="M3" i="36" s="1"/>
  <c r="H10" i="36"/>
  <c r="K2" i="36"/>
  <c r="L2" i="36" s="1"/>
  <c r="M2" i="36" s="1"/>
  <c r="N2" i="36" s="1"/>
  <c r="O2" i="36" s="1"/>
  <c r="P2" i="36" s="1"/>
  <c r="Q2" i="36" s="1"/>
  <c r="R2" i="36" s="1"/>
  <c r="S2" i="36" s="1"/>
  <c r="T2" i="36" s="1"/>
  <c r="G5" i="36"/>
  <c r="E5" i="36"/>
  <c r="E6" i="36" s="1"/>
  <c r="D21" i="36"/>
  <c r="D18" i="36"/>
  <c r="D22" i="36" s="1"/>
  <c r="B6" i="36"/>
  <c r="B7" i="36" s="1"/>
  <c r="B8" i="36" s="1"/>
  <c r="B9" i="36" s="1"/>
  <c r="A7" i="36"/>
  <c r="A8" i="36" s="1"/>
  <c r="A9" i="36" s="1"/>
  <c r="A10" i="36" s="1"/>
  <c r="A11" i="36" s="1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A47" i="36" s="1"/>
  <c r="A48" i="36" s="1"/>
  <c r="A49" i="36" s="1"/>
  <c r="A50" i="36" s="1"/>
  <c r="A51" i="36" s="1"/>
  <c r="A52" i="36" s="1"/>
  <c r="A53" i="36" s="1"/>
  <c r="A54" i="36" s="1"/>
  <c r="A55" i="36" s="1"/>
  <c r="A56" i="36" s="1"/>
  <c r="A57" i="36" s="1"/>
  <c r="A58" i="36" s="1"/>
  <c r="A59" i="36" s="1"/>
  <c r="A60" i="36" s="1"/>
  <c r="A61" i="36" s="1"/>
  <c r="A62" i="36" s="1"/>
  <c r="A63" i="36" s="1"/>
  <c r="A64" i="36" s="1"/>
  <c r="A65" i="36" s="1"/>
  <c r="A66" i="36" s="1"/>
  <c r="A67" i="36" s="1"/>
  <c r="A68" i="36" s="1"/>
  <c r="A69" i="36" s="1"/>
  <c r="A70" i="36" s="1"/>
  <c r="A71" i="36" s="1"/>
  <c r="A72" i="36" s="1"/>
  <c r="A73" i="36" s="1"/>
  <c r="A74" i="36" s="1"/>
  <c r="A75" i="36" s="1"/>
  <c r="A76" i="36" s="1"/>
  <c r="A77" i="36" s="1"/>
  <c r="A78" i="36" s="1"/>
  <c r="A79" i="36" s="1"/>
  <c r="A80" i="36" s="1"/>
  <c r="A81" i="36" s="1"/>
  <c r="A82" i="36" s="1"/>
  <c r="A83" i="36" s="1"/>
  <c r="A84" i="36" s="1"/>
  <c r="A85" i="36" s="1"/>
  <c r="A86" i="36" s="1"/>
  <c r="A87" i="36" s="1"/>
  <c r="A88" i="36" s="1"/>
  <c r="A89" i="36" s="1"/>
  <c r="A90" i="36" s="1"/>
  <c r="A91" i="36" s="1"/>
  <c r="A92" i="36" s="1"/>
  <c r="A93" i="36" s="1"/>
  <c r="A94" i="36" s="1"/>
  <c r="A95" i="36" s="1"/>
  <c r="A96" i="36" s="1"/>
  <c r="A97" i="36" s="1"/>
  <c r="A98" i="36" s="1"/>
  <c r="A99" i="36" s="1"/>
  <c r="A100" i="36" s="1"/>
  <c r="A101" i="36" s="1"/>
  <c r="A102" i="36" s="1"/>
  <c r="A103" i="36" s="1"/>
  <c r="A104" i="36" s="1"/>
  <c r="A105" i="36" s="1"/>
  <c r="A106" i="36" s="1"/>
  <c r="A107" i="36" s="1"/>
  <c r="A108" i="36" s="1"/>
  <c r="A109" i="36" s="1"/>
  <c r="A110" i="36" s="1"/>
  <c r="A111" i="36" s="1"/>
  <c r="A112" i="36" s="1"/>
  <c r="A113" i="36" s="1"/>
  <c r="A114" i="36" s="1"/>
  <c r="A115" i="36" s="1"/>
  <c r="A116" i="36" s="1"/>
  <c r="A117" i="36" s="1"/>
  <c r="A118" i="36" s="1"/>
  <c r="A119" i="36" s="1"/>
  <c r="A120" i="36" s="1"/>
  <c r="A121" i="36" s="1"/>
  <c r="A122" i="36" s="1"/>
  <c r="A123" i="36" s="1"/>
  <c r="A124" i="36" s="1"/>
  <c r="C40" i="40" l="1"/>
  <c r="J41" i="40"/>
  <c r="G41" i="40" s="1"/>
  <c r="I41" i="40" s="1"/>
  <c r="B42" i="40"/>
  <c r="D19" i="36"/>
  <c r="D23" i="36" s="1"/>
  <c r="H34" i="36" s="1"/>
  <c r="L3" i="36" s="1"/>
  <c r="W40" i="18"/>
  <c r="C36" i="39"/>
  <c r="J37" i="39"/>
  <c r="G37" i="39" s="1"/>
  <c r="B38" i="39"/>
  <c r="F48" i="39"/>
  <c r="B10" i="36"/>
  <c r="B11" i="36" s="1"/>
  <c r="E7" i="36"/>
  <c r="F6" i="36"/>
  <c r="F5" i="36"/>
  <c r="E29" i="21"/>
  <c r="D29" i="21"/>
  <c r="N8" i="35"/>
  <c r="B20" i="35"/>
  <c r="B21" i="35" s="1"/>
  <c r="B22" i="35" s="1"/>
  <c r="B23" i="35" s="1"/>
  <c r="B24" i="35" s="1"/>
  <c r="B25" i="35" s="1"/>
  <c r="B26" i="35" s="1"/>
  <c r="B27" i="35" s="1"/>
  <c r="B28" i="35" s="1"/>
  <c r="B29" i="35" s="1"/>
  <c r="B30" i="35" s="1"/>
  <c r="B31" i="35" s="1"/>
  <c r="B32" i="35" s="1"/>
  <c r="B33" i="35" s="1"/>
  <c r="B34" i="35" s="1"/>
  <c r="B35" i="35" s="1"/>
  <c r="B36" i="35" s="1"/>
  <c r="B37" i="35" s="1"/>
  <c r="B38" i="35" s="1"/>
  <c r="B39" i="35" s="1"/>
  <c r="B40" i="35" s="1"/>
  <c r="B41" i="35" s="1"/>
  <c r="B42" i="35" s="1"/>
  <c r="B43" i="35" s="1"/>
  <c r="B44" i="35" s="1"/>
  <c r="B45" i="35" s="1"/>
  <c r="B46" i="35" s="1"/>
  <c r="B47" i="35" s="1"/>
  <c r="B48" i="35" s="1"/>
  <c r="B49" i="35" s="1"/>
  <c r="B50" i="35" s="1"/>
  <c r="B51" i="35" s="1"/>
  <c r="B52" i="35" s="1"/>
  <c r="B53" i="35" s="1"/>
  <c r="B54" i="35" s="1"/>
  <c r="B55" i="35" s="1"/>
  <c r="B56" i="35" s="1"/>
  <c r="B57" i="35" s="1"/>
  <c r="B58" i="35" s="1"/>
  <c r="B59" i="35" s="1"/>
  <c r="B60" i="35" s="1"/>
  <c r="B61" i="35" s="1"/>
  <c r="B62" i="35" s="1"/>
  <c r="B63" i="35" s="1"/>
  <c r="B64" i="35" s="1"/>
  <c r="B65" i="35" s="1"/>
  <c r="B66" i="35" s="1"/>
  <c r="B67" i="35" s="1"/>
  <c r="B68" i="35" s="1"/>
  <c r="B69" i="35" s="1"/>
  <c r="B70" i="35" s="1"/>
  <c r="B71" i="35" s="1"/>
  <c r="B72" i="35" s="1"/>
  <c r="B73" i="35" s="1"/>
  <c r="B74" i="35" s="1"/>
  <c r="B75" i="35" s="1"/>
  <c r="B76" i="35" s="1"/>
  <c r="B77" i="35" s="1"/>
  <c r="B78" i="35" s="1"/>
  <c r="B79" i="35" s="1"/>
  <c r="B80" i="35" s="1"/>
  <c r="B81" i="35" s="1"/>
  <c r="B82" i="35" s="1"/>
  <c r="B83" i="35" s="1"/>
  <c r="B84" i="35" s="1"/>
  <c r="B85" i="35" s="1"/>
  <c r="B86" i="35" s="1"/>
  <c r="B87" i="35" s="1"/>
  <c r="B88" i="35" s="1"/>
  <c r="B89" i="35" s="1"/>
  <c r="B90" i="35" s="1"/>
  <c r="B91" i="35" s="1"/>
  <c r="B92" i="35" s="1"/>
  <c r="B93" i="35" s="1"/>
  <c r="B94" i="35" s="1"/>
  <c r="B95" i="35" s="1"/>
  <c r="B96" i="35" s="1"/>
  <c r="B97" i="35" s="1"/>
  <c r="B98" i="35" s="1"/>
  <c r="B99" i="35" s="1"/>
  <c r="B100" i="35" s="1"/>
  <c r="B101" i="35" s="1"/>
  <c r="B102" i="35" s="1"/>
  <c r="B103" i="35" s="1"/>
  <c r="B104" i="35" s="1"/>
  <c r="B105" i="35" s="1"/>
  <c r="B106" i="35" s="1"/>
  <c r="B107" i="35" s="1"/>
  <c r="B108" i="35" s="1"/>
  <c r="B109" i="35" s="1"/>
  <c r="B110" i="35" s="1"/>
  <c r="B111" i="35" s="1"/>
  <c r="B112" i="35" s="1"/>
  <c r="B113" i="35" s="1"/>
  <c r="B114" i="35" s="1"/>
  <c r="B115" i="35" s="1"/>
  <c r="B116" i="35" s="1"/>
  <c r="B117" i="35" s="1"/>
  <c r="B118" i="35" s="1"/>
  <c r="B119" i="35" s="1"/>
  <c r="B120" i="35" s="1"/>
  <c r="B121" i="35" s="1"/>
  <c r="B122" i="35" s="1"/>
  <c r="B123" i="35" s="1"/>
  <c r="B124" i="35" s="1"/>
  <c r="B125" i="35" s="1"/>
  <c r="B126" i="35" s="1"/>
  <c r="B127" i="35" s="1"/>
  <c r="B128" i="35" s="1"/>
  <c r="B129" i="35" s="1"/>
  <c r="B130" i="35" s="1"/>
  <c r="B131" i="35" s="1"/>
  <c r="B132" i="35" s="1"/>
  <c r="B133" i="35" s="1"/>
  <c r="B134" i="35" s="1"/>
  <c r="B135" i="35" s="1"/>
  <c r="B136" i="35" s="1"/>
  <c r="B137" i="35" s="1"/>
  <c r="B138" i="35" s="1"/>
  <c r="B139" i="35" s="1"/>
  <c r="B140" i="35" s="1"/>
  <c r="B141" i="35" s="1"/>
  <c r="B142" i="35" s="1"/>
  <c r="B143" i="35" s="1"/>
  <c r="B144" i="35" s="1"/>
  <c r="B145" i="35" s="1"/>
  <c r="B146" i="35" s="1"/>
  <c r="B147" i="35" s="1"/>
  <c r="B148" i="35" s="1"/>
  <c r="B149" i="35" s="1"/>
  <c r="B150" i="35" s="1"/>
  <c r="B151" i="35" s="1"/>
  <c r="B152" i="35" s="1"/>
  <c r="B153" i="35" s="1"/>
  <c r="B154" i="35" s="1"/>
  <c r="B155" i="35" s="1"/>
  <c r="B156" i="35" s="1"/>
  <c r="B157" i="35" s="1"/>
  <c r="B158" i="35" s="1"/>
  <c r="B159" i="35" s="1"/>
  <c r="B160" i="35" s="1"/>
  <c r="B161" i="35" s="1"/>
  <c r="B162" i="35" s="1"/>
  <c r="B163" i="35" s="1"/>
  <c r="J162" i="35" s="1"/>
  <c r="J42" i="40" l="1"/>
  <c r="G42" i="40" s="1"/>
  <c r="B43" i="40"/>
  <c r="C41" i="40"/>
  <c r="J38" i="35"/>
  <c r="J102" i="35"/>
  <c r="J23" i="35"/>
  <c r="J103" i="35"/>
  <c r="J135" i="35"/>
  <c r="J56" i="35"/>
  <c r="J88" i="35"/>
  <c r="J136" i="35"/>
  <c r="J35" i="35"/>
  <c r="J51" i="35"/>
  <c r="J67" i="35"/>
  <c r="J83" i="35"/>
  <c r="J99" i="35"/>
  <c r="J115" i="35"/>
  <c r="J131" i="35"/>
  <c r="J147" i="35"/>
  <c r="J36" i="35"/>
  <c r="J52" i="35"/>
  <c r="J68" i="35"/>
  <c r="J84" i="35"/>
  <c r="J100" i="35"/>
  <c r="J116" i="35"/>
  <c r="J132" i="35"/>
  <c r="J148" i="35"/>
  <c r="J54" i="35"/>
  <c r="J118" i="35"/>
  <c r="J55" i="35"/>
  <c r="J151" i="35"/>
  <c r="J105" i="35"/>
  <c r="J153" i="35"/>
  <c r="J71" i="35"/>
  <c r="J42" i="35"/>
  <c r="J90" i="35"/>
  <c r="J154" i="35"/>
  <c r="J43" i="35"/>
  <c r="J75" i="35"/>
  <c r="J107" i="35"/>
  <c r="J139" i="35"/>
  <c r="J76" i="35"/>
  <c r="J124" i="35"/>
  <c r="J45" i="35"/>
  <c r="J46" i="35"/>
  <c r="J158" i="35"/>
  <c r="J53" i="35"/>
  <c r="J69" i="35"/>
  <c r="J117" i="35"/>
  <c r="J149" i="35"/>
  <c r="J70" i="35"/>
  <c r="J134" i="35"/>
  <c r="J87" i="35"/>
  <c r="J119" i="35"/>
  <c r="J120" i="35"/>
  <c r="J25" i="35"/>
  <c r="J41" i="35"/>
  <c r="J57" i="35"/>
  <c r="J73" i="35"/>
  <c r="J89" i="35"/>
  <c r="J121" i="35"/>
  <c r="J137" i="35"/>
  <c r="J26" i="35"/>
  <c r="J74" i="35"/>
  <c r="J106" i="35"/>
  <c r="J138" i="35"/>
  <c r="J27" i="35"/>
  <c r="J59" i="35"/>
  <c r="J91" i="35"/>
  <c r="J123" i="35"/>
  <c r="J155" i="35"/>
  <c r="J28" i="35"/>
  <c r="J60" i="35"/>
  <c r="J108" i="35"/>
  <c r="J156" i="35"/>
  <c r="J77" i="35"/>
  <c r="J157" i="35"/>
  <c r="J62" i="35"/>
  <c r="J110" i="35"/>
  <c r="J126" i="35"/>
  <c r="J142" i="35"/>
  <c r="J31" i="35"/>
  <c r="J47" i="35"/>
  <c r="J63" i="35"/>
  <c r="J79" i="35"/>
  <c r="J95" i="35"/>
  <c r="J111" i="35"/>
  <c r="J127" i="35"/>
  <c r="J143" i="35"/>
  <c r="J159" i="35"/>
  <c r="J152" i="35"/>
  <c r="J44" i="35"/>
  <c r="J92" i="35"/>
  <c r="J140" i="35"/>
  <c r="J29" i="35"/>
  <c r="J93" i="35"/>
  <c r="J125" i="35"/>
  <c r="J30" i="35"/>
  <c r="J32" i="35"/>
  <c r="J96" i="35"/>
  <c r="J128" i="35"/>
  <c r="J160" i="35"/>
  <c r="J101" i="35"/>
  <c r="J24" i="35"/>
  <c r="J40" i="35"/>
  <c r="J72" i="35"/>
  <c r="J104" i="35"/>
  <c r="J58" i="35"/>
  <c r="J61" i="35"/>
  <c r="J109" i="35"/>
  <c r="J141" i="35"/>
  <c r="J78" i="35"/>
  <c r="J64" i="35"/>
  <c r="J144" i="35"/>
  <c r="J33" i="35"/>
  <c r="J49" i="35"/>
  <c r="J65" i="35"/>
  <c r="J81" i="35"/>
  <c r="J97" i="35"/>
  <c r="J113" i="35"/>
  <c r="J129" i="35"/>
  <c r="J145" i="35"/>
  <c r="J161" i="35"/>
  <c r="H22" i="36"/>
  <c r="K3" i="36" s="1"/>
  <c r="X3" i="36" s="1"/>
  <c r="J37" i="35"/>
  <c r="J85" i="35"/>
  <c r="J133" i="35"/>
  <c r="J86" i="35"/>
  <c r="J150" i="35"/>
  <c r="J39" i="35"/>
  <c r="J122" i="35"/>
  <c r="J94" i="35"/>
  <c r="J48" i="35"/>
  <c r="J80" i="35"/>
  <c r="J112" i="35"/>
  <c r="J34" i="35"/>
  <c r="J50" i="35"/>
  <c r="J66" i="35"/>
  <c r="J82" i="35"/>
  <c r="J98" i="35"/>
  <c r="J114" i="35"/>
  <c r="J130" i="35"/>
  <c r="J146" i="35"/>
  <c r="D126" i="36"/>
  <c r="I37" i="39"/>
  <c r="L37" i="39"/>
  <c r="F49" i="39"/>
  <c r="C37" i="39"/>
  <c r="B39" i="39"/>
  <c r="J38" i="39"/>
  <c r="G38" i="39" s="1"/>
  <c r="E8" i="36"/>
  <c r="F7" i="36"/>
  <c r="B44" i="40" l="1"/>
  <c r="C42" i="40"/>
  <c r="J43" i="40"/>
  <c r="G43" i="40" s="1"/>
  <c r="I43" i="40" s="1"/>
  <c r="I42" i="40"/>
  <c r="H126" i="36"/>
  <c r="M7" i="39"/>
  <c r="H51" i="18" s="1"/>
  <c r="K49" i="39"/>
  <c r="F50" i="39"/>
  <c r="I38" i="39"/>
  <c r="B40" i="39"/>
  <c r="J39" i="39"/>
  <c r="G39" i="39" s="1"/>
  <c r="C38" i="39"/>
  <c r="E9" i="36"/>
  <c r="F8" i="36"/>
  <c r="C162" i="35"/>
  <c r="C163" i="35"/>
  <c r="J44" i="40" l="1"/>
  <c r="G44" i="40" s="1"/>
  <c r="C43" i="40"/>
  <c r="B45" i="40"/>
  <c r="F51" i="39"/>
  <c r="I39" i="39"/>
  <c r="N6" i="39"/>
  <c r="B41" i="39"/>
  <c r="C39" i="39"/>
  <c r="J40" i="39"/>
  <c r="G40" i="39" s="1"/>
  <c r="I40" i="39" s="1"/>
  <c r="E10" i="36"/>
  <c r="F9" i="36"/>
  <c r="F53" i="21"/>
  <c r="F54" i="21"/>
  <c r="F58" i="21"/>
  <c r="F59" i="21"/>
  <c r="Q26" i="21"/>
  <c r="R26" i="21"/>
  <c r="S26" i="21"/>
  <c r="Q27" i="21"/>
  <c r="R27" i="21"/>
  <c r="S27" i="21"/>
  <c r="Q28" i="21"/>
  <c r="R28" i="21"/>
  <c r="S28" i="21"/>
  <c r="N28" i="21"/>
  <c r="E28" i="21"/>
  <c r="D28" i="21"/>
  <c r="N27" i="21"/>
  <c r="E27" i="21"/>
  <c r="D27" i="21"/>
  <c r="N26" i="21"/>
  <c r="E26" i="21"/>
  <c r="D26" i="21"/>
  <c r="N25" i="21"/>
  <c r="K73" i="40" l="1"/>
  <c r="B46" i="40"/>
  <c r="J45" i="40"/>
  <c r="G45" i="40" s="1"/>
  <c r="I45" i="40" s="1"/>
  <c r="C44" i="40"/>
  <c r="I44" i="40"/>
  <c r="I50" i="18"/>
  <c r="B42" i="39"/>
  <c r="C40" i="39"/>
  <c r="J41" i="39"/>
  <c r="G41" i="39" s="1"/>
  <c r="F52" i="39"/>
  <c r="F53" i="39" s="1"/>
  <c r="E11" i="36"/>
  <c r="E12" i="36" s="1"/>
  <c r="F10" i="36"/>
  <c r="I10" i="36" s="1"/>
  <c r="J4" i="36" s="1"/>
  <c r="G41" i="18" s="1"/>
  <c r="Q25" i="21"/>
  <c r="S25" i="21"/>
  <c r="D25" i="21"/>
  <c r="R25" i="21"/>
  <c r="E25" i="21"/>
  <c r="C45" i="40" l="1"/>
  <c r="J46" i="40"/>
  <c r="G46" i="40" s="1"/>
  <c r="I46" i="40" s="1"/>
  <c r="B47" i="40"/>
  <c r="P6" i="40"/>
  <c r="K45" i="18" s="1"/>
  <c r="K55" i="18" s="1"/>
  <c r="J42" i="39"/>
  <c r="G42" i="39" s="1"/>
  <c r="I42" i="39" s="1"/>
  <c r="B43" i="39"/>
  <c r="C41" i="39"/>
  <c r="I41" i="39"/>
  <c r="F11" i="36"/>
  <c r="G37" i="18"/>
  <c r="H37" i="18"/>
  <c r="F32" i="21" s="1"/>
  <c r="I37" i="18"/>
  <c r="G32" i="21" s="1"/>
  <c r="J37" i="18"/>
  <c r="H32" i="21" s="1"/>
  <c r="K37" i="18"/>
  <c r="I32" i="21" s="1"/>
  <c r="L37" i="18"/>
  <c r="J32" i="21" s="1"/>
  <c r="M37" i="18"/>
  <c r="K32" i="21" s="1"/>
  <c r="N37" i="18"/>
  <c r="L32" i="21" s="1"/>
  <c r="O37" i="18"/>
  <c r="O32" i="21" s="1"/>
  <c r="P37" i="18"/>
  <c r="P32" i="21" s="1"/>
  <c r="Q37" i="18"/>
  <c r="C46" i="40" l="1"/>
  <c r="J47" i="40"/>
  <c r="G47" i="40" s="1"/>
  <c r="I47" i="40" s="1"/>
  <c r="B48" i="40"/>
  <c r="Q32" i="21"/>
  <c r="F41" i="28"/>
  <c r="F54" i="39"/>
  <c r="J43" i="39"/>
  <c r="G43" i="39" s="1"/>
  <c r="B44" i="39"/>
  <c r="C42" i="39"/>
  <c r="F49" i="21"/>
  <c r="E13" i="36"/>
  <c r="F12" i="36"/>
  <c r="U40" i="7"/>
  <c r="Z4" i="35"/>
  <c r="H168" i="35"/>
  <c r="A21" i="35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38" i="35" s="1"/>
  <c r="A39" i="35" s="1"/>
  <c r="A40" i="35" s="1"/>
  <c r="A41" i="35" s="1"/>
  <c r="A42" i="35" s="1"/>
  <c r="A43" i="35" s="1"/>
  <c r="A44" i="35" s="1"/>
  <c r="A45" i="35" s="1"/>
  <c r="A46" i="35" s="1"/>
  <c r="A47" i="35" s="1"/>
  <c r="A48" i="35" s="1"/>
  <c r="A49" i="35" s="1"/>
  <c r="A50" i="35" s="1"/>
  <c r="A51" i="35" s="1"/>
  <c r="A52" i="35" s="1"/>
  <c r="A53" i="35" s="1"/>
  <c r="A54" i="35" s="1"/>
  <c r="A55" i="35" s="1"/>
  <c r="A56" i="35" s="1"/>
  <c r="A57" i="35" s="1"/>
  <c r="A58" i="35" s="1"/>
  <c r="A59" i="35" s="1"/>
  <c r="A60" i="35" s="1"/>
  <c r="A61" i="35" s="1"/>
  <c r="A62" i="35" s="1"/>
  <c r="A63" i="35" s="1"/>
  <c r="A64" i="35" s="1"/>
  <c r="A65" i="35" s="1"/>
  <c r="A66" i="35" s="1"/>
  <c r="A67" i="35" s="1"/>
  <c r="A68" i="35" s="1"/>
  <c r="A69" i="35" s="1"/>
  <c r="A70" i="35" s="1"/>
  <c r="A71" i="35" s="1"/>
  <c r="A72" i="35" s="1"/>
  <c r="A73" i="35" s="1"/>
  <c r="A74" i="35" s="1"/>
  <c r="A75" i="35" s="1"/>
  <c r="A76" i="35" s="1"/>
  <c r="A77" i="35" s="1"/>
  <c r="A78" i="35" s="1"/>
  <c r="A79" i="35" s="1"/>
  <c r="A80" i="35" s="1"/>
  <c r="A81" i="35" s="1"/>
  <c r="A82" i="35" s="1"/>
  <c r="A83" i="35" s="1"/>
  <c r="A84" i="35" s="1"/>
  <c r="A85" i="35" s="1"/>
  <c r="A86" i="35" s="1"/>
  <c r="A87" i="35" s="1"/>
  <c r="A88" i="35" s="1"/>
  <c r="A89" i="35" s="1"/>
  <c r="A90" i="35" s="1"/>
  <c r="A91" i="35" s="1"/>
  <c r="A92" i="35" s="1"/>
  <c r="A93" i="35" s="1"/>
  <c r="A94" i="35" s="1"/>
  <c r="A95" i="35" s="1"/>
  <c r="A96" i="35" s="1"/>
  <c r="A97" i="35" s="1"/>
  <c r="A98" i="35" s="1"/>
  <c r="A99" i="35" s="1"/>
  <c r="A100" i="35" s="1"/>
  <c r="A101" i="35" s="1"/>
  <c r="A102" i="35" s="1"/>
  <c r="A103" i="35" s="1"/>
  <c r="A104" i="35" s="1"/>
  <c r="A105" i="35" s="1"/>
  <c r="A106" i="35" s="1"/>
  <c r="A107" i="35" s="1"/>
  <c r="A108" i="35" s="1"/>
  <c r="A109" i="35" s="1"/>
  <c r="A110" i="35" s="1"/>
  <c r="A111" i="35" s="1"/>
  <c r="A112" i="35" s="1"/>
  <c r="A113" i="35" s="1"/>
  <c r="A114" i="35" s="1"/>
  <c r="A115" i="35" s="1"/>
  <c r="A116" i="35" s="1"/>
  <c r="A117" i="35" s="1"/>
  <c r="A118" i="35" s="1"/>
  <c r="A119" i="35" s="1"/>
  <c r="A120" i="35" s="1"/>
  <c r="A121" i="35" s="1"/>
  <c r="A122" i="35" s="1"/>
  <c r="A123" i="35" s="1"/>
  <c r="A124" i="35" s="1"/>
  <c r="A125" i="35" s="1"/>
  <c r="A126" i="35" s="1"/>
  <c r="A127" i="35" s="1"/>
  <c r="A128" i="35" s="1"/>
  <c r="A129" i="35" s="1"/>
  <c r="A130" i="35" s="1"/>
  <c r="A131" i="35" s="1"/>
  <c r="A132" i="35" s="1"/>
  <c r="A133" i="35" s="1"/>
  <c r="A134" i="35" s="1"/>
  <c r="A135" i="35" s="1"/>
  <c r="A136" i="35" s="1"/>
  <c r="A137" i="35" s="1"/>
  <c r="A138" i="35" s="1"/>
  <c r="A139" i="35" s="1"/>
  <c r="A140" i="35" s="1"/>
  <c r="A141" i="35" s="1"/>
  <c r="A142" i="35" s="1"/>
  <c r="A143" i="35" s="1"/>
  <c r="A144" i="35" s="1"/>
  <c r="A145" i="35" s="1"/>
  <c r="A146" i="35" s="1"/>
  <c r="A147" i="35" s="1"/>
  <c r="A148" i="35" s="1"/>
  <c r="A149" i="35" s="1"/>
  <c r="A150" i="35" s="1"/>
  <c r="A151" i="35" s="1"/>
  <c r="A152" i="35" s="1"/>
  <c r="A153" i="35" s="1"/>
  <c r="A154" i="35" s="1"/>
  <c r="A155" i="35" s="1"/>
  <c r="A156" i="35" s="1"/>
  <c r="A157" i="35" s="1"/>
  <c r="A158" i="35" s="1"/>
  <c r="A159" i="35" s="1"/>
  <c r="A160" i="35" s="1"/>
  <c r="A161" i="35" s="1"/>
  <c r="A162" i="35" s="1"/>
  <c r="A163" i="35" s="1"/>
  <c r="D23" i="35"/>
  <c r="C25" i="35"/>
  <c r="E21" i="35"/>
  <c r="B15" i="35"/>
  <c r="B16" i="35" s="1"/>
  <c r="B17" i="35" s="1"/>
  <c r="B18" i="35" s="1"/>
  <c r="N6" i="35"/>
  <c r="G35" i="18" s="1"/>
  <c r="E8" i="35"/>
  <c r="E5" i="35"/>
  <c r="O4" i="35"/>
  <c r="P4" i="35" s="1"/>
  <c r="Q4" i="35" s="1"/>
  <c r="R4" i="35" s="1"/>
  <c r="S4" i="35" s="1"/>
  <c r="T4" i="35" s="1"/>
  <c r="U4" i="35" s="1"/>
  <c r="V4" i="35" s="1"/>
  <c r="W4" i="35" s="1"/>
  <c r="X4" i="35" s="1"/>
  <c r="Y4" i="35" s="1"/>
  <c r="B49" i="40" l="1"/>
  <c r="J48" i="40"/>
  <c r="G48" i="40" s="1"/>
  <c r="I48" i="40" s="1"/>
  <c r="C47" i="40"/>
  <c r="F23" i="35"/>
  <c r="F24" i="35" s="1"/>
  <c r="D25" i="35"/>
  <c r="J44" i="39"/>
  <c r="G44" i="39" s="1"/>
  <c r="I44" i="39" s="1"/>
  <c r="C43" i="39"/>
  <c r="B45" i="39"/>
  <c r="E55" i="39"/>
  <c r="I43" i="39"/>
  <c r="F55" i="39"/>
  <c r="D164" i="35"/>
  <c r="Q40" i="7"/>
  <c r="Q27" i="28"/>
  <c r="E14" i="36"/>
  <c r="F13" i="36"/>
  <c r="G14" i="35"/>
  <c r="G24" i="35"/>
  <c r="G23" i="35"/>
  <c r="T40" i="7"/>
  <c r="C14" i="35"/>
  <c r="C21" i="35"/>
  <c r="G15" i="35"/>
  <c r="I15" i="35" s="1"/>
  <c r="G19" i="35"/>
  <c r="I19" i="35" s="1"/>
  <c r="F22" i="35"/>
  <c r="G22" i="35" s="1"/>
  <c r="E22" i="35"/>
  <c r="C16" i="35"/>
  <c r="C18" i="35"/>
  <c r="C20" i="35"/>
  <c r="G21" i="35"/>
  <c r="G17" i="35"/>
  <c r="I17" i="35" s="1"/>
  <c r="G16" i="35"/>
  <c r="I16" i="35" s="1"/>
  <c r="G18" i="35"/>
  <c r="I18" i="35" s="1"/>
  <c r="G20" i="35"/>
  <c r="I20" i="35" s="1"/>
  <c r="C15" i="35"/>
  <c r="C17" i="35"/>
  <c r="C19" i="35"/>
  <c r="R22" i="21"/>
  <c r="R23" i="21"/>
  <c r="L18" i="21"/>
  <c r="L19" i="21"/>
  <c r="K20" i="21"/>
  <c r="L20" i="21"/>
  <c r="G10" i="7"/>
  <c r="G25" i="7"/>
  <c r="J49" i="40" l="1"/>
  <c r="G49" i="40" s="1"/>
  <c r="B50" i="40"/>
  <c r="C48" i="40"/>
  <c r="F25" i="35"/>
  <c r="F56" i="39"/>
  <c r="J45" i="39"/>
  <c r="G45" i="39" s="1"/>
  <c r="C44" i="39"/>
  <c r="B46" i="39"/>
  <c r="E56" i="39"/>
  <c r="F57" i="39" s="1"/>
  <c r="E15" i="36"/>
  <c r="E16" i="36" s="1"/>
  <c r="F14" i="36"/>
  <c r="E23" i="35"/>
  <c r="I22" i="35"/>
  <c r="I21" i="35"/>
  <c r="C22" i="35"/>
  <c r="D5" i="33"/>
  <c r="B51" i="40" l="1"/>
  <c r="C49" i="40"/>
  <c r="J50" i="40"/>
  <c r="G50" i="40" s="1"/>
  <c r="I49" i="40"/>
  <c r="L49" i="40"/>
  <c r="F26" i="35"/>
  <c r="G25" i="35"/>
  <c r="L25" i="35" s="1"/>
  <c r="J46" i="39"/>
  <c r="G46" i="39" s="1"/>
  <c r="I46" i="39" s="1"/>
  <c r="C45" i="39"/>
  <c r="B47" i="39"/>
  <c r="E57" i="39"/>
  <c r="F58" i="39" s="1"/>
  <c r="I45" i="39"/>
  <c r="F15" i="36"/>
  <c r="I23" i="35"/>
  <c r="C23" i="35"/>
  <c r="I50" i="40" l="1"/>
  <c r="N7" i="40"/>
  <c r="I46" i="18" s="1"/>
  <c r="I56" i="18" s="1"/>
  <c r="B52" i="40"/>
  <c r="C50" i="40"/>
  <c r="J51" i="40"/>
  <c r="G51" i="40" s="1"/>
  <c r="I51" i="40" s="1"/>
  <c r="F27" i="35"/>
  <c r="G26" i="35"/>
  <c r="J47" i="39"/>
  <c r="G47" i="39" s="1"/>
  <c r="I47" i="39" s="1"/>
  <c r="C46" i="39"/>
  <c r="B48" i="39"/>
  <c r="E58" i="39"/>
  <c r="F16" i="36"/>
  <c r="F17" i="36"/>
  <c r="E17" i="36"/>
  <c r="I24" i="35"/>
  <c r="C24" i="35"/>
  <c r="S22" i="21"/>
  <c r="S23" i="21"/>
  <c r="B53" i="40" l="1"/>
  <c r="C51" i="40"/>
  <c r="J52" i="40"/>
  <c r="G52" i="40" s="1"/>
  <c r="I52" i="40" s="1"/>
  <c r="N9" i="40"/>
  <c r="G27" i="35"/>
  <c r="F28" i="35"/>
  <c r="J48" i="39"/>
  <c r="G48" i="39" s="1"/>
  <c r="I48" i="39" s="1"/>
  <c r="C47" i="39"/>
  <c r="B49" i="39"/>
  <c r="E59" i="39"/>
  <c r="F59" i="39"/>
  <c r="E18" i="36"/>
  <c r="F18" i="36"/>
  <c r="I25" i="35"/>
  <c r="C39" i="33"/>
  <c r="E19" i="1"/>
  <c r="D19" i="1"/>
  <c r="C52" i="40" l="1"/>
  <c r="B54" i="40"/>
  <c r="J53" i="40"/>
  <c r="G53" i="40" s="1"/>
  <c r="G28" i="35"/>
  <c r="F29" i="35"/>
  <c r="B50" i="39"/>
  <c r="J49" i="39"/>
  <c r="G49" i="39" s="1"/>
  <c r="C48" i="39"/>
  <c r="F60" i="39"/>
  <c r="E60" i="39"/>
  <c r="E19" i="36"/>
  <c r="F19" i="36"/>
  <c r="I26" i="35"/>
  <c r="N7" i="35"/>
  <c r="N9" i="35" s="1"/>
  <c r="C26" i="35"/>
  <c r="I53" i="40" l="1"/>
  <c r="J54" i="40"/>
  <c r="G54" i="40" s="1"/>
  <c r="I54" i="40" s="1"/>
  <c r="C53" i="40"/>
  <c r="B55" i="40"/>
  <c r="G29" i="35"/>
  <c r="F30" i="35"/>
  <c r="F61" i="39"/>
  <c r="E61" i="39"/>
  <c r="I49" i="39"/>
  <c r="L49" i="39"/>
  <c r="B51" i="39"/>
  <c r="C49" i="39"/>
  <c r="J50" i="39"/>
  <c r="G50" i="39" s="1"/>
  <c r="E20" i="36"/>
  <c r="F20" i="36"/>
  <c r="G36" i="18"/>
  <c r="I27" i="35"/>
  <c r="C27" i="35"/>
  <c r="I28" i="35"/>
  <c r="N52" i="21"/>
  <c r="E52" i="21"/>
  <c r="D52" i="21"/>
  <c r="N51" i="21"/>
  <c r="E51" i="21"/>
  <c r="D51" i="21"/>
  <c r="N50" i="21"/>
  <c r="E50" i="21"/>
  <c r="D50" i="21"/>
  <c r="N49" i="21"/>
  <c r="N60" i="21"/>
  <c r="E60" i="21"/>
  <c r="D60" i="21"/>
  <c r="N59" i="21"/>
  <c r="E59" i="21"/>
  <c r="D59" i="21"/>
  <c r="N58" i="21"/>
  <c r="E58" i="21"/>
  <c r="D58" i="21"/>
  <c r="D57" i="21" s="1"/>
  <c r="N57" i="21"/>
  <c r="D35" i="28"/>
  <c r="E35" i="28" s="1"/>
  <c r="F35" i="28" s="1"/>
  <c r="G35" i="28" s="1"/>
  <c r="D34" i="28"/>
  <c r="E34" i="28" s="1"/>
  <c r="F34" i="28" s="1"/>
  <c r="G34" i="28" s="1"/>
  <c r="J55" i="40" l="1"/>
  <c r="G55" i="40" s="1"/>
  <c r="I55" i="40" s="1"/>
  <c r="C54" i="40"/>
  <c r="B56" i="40"/>
  <c r="G30" i="35"/>
  <c r="F31" i="35"/>
  <c r="N7" i="39"/>
  <c r="E62" i="39"/>
  <c r="K61" i="39"/>
  <c r="C50" i="39"/>
  <c r="B52" i="39"/>
  <c r="J51" i="39"/>
  <c r="G51" i="39" s="1"/>
  <c r="I51" i="39" s="1"/>
  <c r="I50" i="39"/>
  <c r="M9" i="39"/>
  <c r="F62" i="39"/>
  <c r="E21" i="36"/>
  <c r="F21" i="36"/>
  <c r="C28" i="35"/>
  <c r="I29" i="35"/>
  <c r="E49" i="21"/>
  <c r="E57" i="21"/>
  <c r="D49" i="21"/>
  <c r="H35" i="33"/>
  <c r="H23" i="33"/>
  <c r="J4" i="33" s="1"/>
  <c r="L3" i="33"/>
  <c r="M3" i="33" s="1"/>
  <c r="N3" i="33" s="1"/>
  <c r="O3" i="33" s="1"/>
  <c r="P3" i="33" s="1"/>
  <c r="Q3" i="33" s="1"/>
  <c r="R3" i="33" s="1"/>
  <c r="S3" i="33" s="1"/>
  <c r="T3" i="33" s="1"/>
  <c r="U3" i="33" s="1"/>
  <c r="V3" i="33" s="1"/>
  <c r="K3" i="33"/>
  <c r="K3" i="32"/>
  <c r="L3" i="32" s="1"/>
  <c r="M3" i="32" s="1"/>
  <c r="N3" i="32" s="1"/>
  <c r="O3" i="32" s="1"/>
  <c r="P3" i="32" s="1"/>
  <c r="Q3" i="32" s="1"/>
  <c r="R3" i="32" s="1"/>
  <c r="S3" i="32" s="1"/>
  <c r="T3" i="32" s="1"/>
  <c r="E41" i="33"/>
  <c r="E42" i="33" s="1"/>
  <c r="A18" i="33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A47" i="33" s="1"/>
  <c r="A48" i="33" s="1"/>
  <c r="A49" i="33" s="1"/>
  <c r="A50" i="33" s="1"/>
  <c r="A51" i="33" s="1"/>
  <c r="A52" i="33" s="1"/>
  <c r="A53" i="33" s="1"/>
  <c r="A54" i="33" s="1"/>
  <c r="A55" i="33" s="1"/>
  <c r="A56" i="33" s="1"/>
  <c r="A57" i="33" s="1"/>
  <c r="A58" i="33" s="1"/>
  <c r="A59" i="33" s="1"/>
  <c r="A60" i="33" s="1"/>
  <c r="A61" i="33" s="1"/>
  <c r="A62" i="33" s="1"/>
  <c r="A63" i="33" s="1"/>
  <c r="A64" i="33" s="1"/>
  <c r="A65" i="33" s="1"/>
  <c r="A66" i="33" s="1"/>
  <c r="A67" i="33" s="1"/>
  <c r="A68" i="33" s="1"/>
  <c r="A69" i="33" s="1"/>
  <c r="A70" i="33" s="1"/>
  <c r="A71" i="33" s="1"/>
  <c r="A72" i="33" s="1"/>
  <c r="A73" i="33" s="1"/>
  <c r="A74" i="33" s="1"/>
  <c r="A75" i="33" s="1"/>
  <c r="A76" i="33" s="1"/>
  <c r="A77" i="33" s="1"/>
  <c r="A78" i="33" s="1"/>
  <c r="A79" i="33" s="1"/>
  <c r="A80" i="33" s="1"/>
  <c r="A81" i="33" s="1"/>
  <c r="A82" i="33" s="1"/>
  <c r="A83" i="33" s="1"/>
  <c r="A84" i="33" s="1"/>
  <c r="A85" i="33" s="1"/>
  <c r="A86" i="33" s="1"/>
  <c r="A87" i="33" s="1"/>
  <c r="A88" i="33" s="1"/>
  <c r="A89" i="33" s="1"/>
  <c r="A90" i="33" s="1"/>
  <c r="A91" i="33" s="1"/>
  <c r="A92" i="33" s="1"/>
  <c r="A93" i="33" s="1"/>
  <c r="A94" i="33" s="1"/>
  <c r="A95" i="33" s="1"/>
  <c r="A96" i="33" s="1"/>
  <c r="A97" i="33" s="1"/>
  <c r="A98" i="33" s="1"/>
  <c r="A99" i="33" s="1"/>
  <c r="A100" i="33" s="1"/>
  <c r="A101" i="33" s="1"/>
  <c r="A102" i="33" s="1"/>
  <c r="A103" i="33" s="1"/>
  <c r="A104" i="33" s="1"/>
  <c r="A105" i="33" s="1"/>
  <c r="A106" i="33" s="1"/>
  <c r="A107" i="33" s="1"/>
  <c r="A108" i="33" s="1"/>
  <c r="A109" i="33" s="1"/>
  <c r="A110" i="33" s="1"/>
  <c r="A111" i="33" s="1"/>
  <c r="A112" i="33" s="1"/>
  <c r="A113" i="33" s="1"/>
  <c r="A114" i="33" s="1"/>
  <c r="A115" i="33" s="1"/>
  <c r="A116" i="33" s="1"/>
  <c r="A117" i="33" s="1"/>
  <c r="A118" i="33" s="1"/>
  <c r="A119" i="33" s="1"/>
  <c r="A120" i="33" s="1"/>
  <c r="A121" i="33" s="1"/>
  <c r="A122" i="33" s="1"/>
  <c r="A123" i="33" s="1"/>
  <c r="A124" i="33" s="1"/>
  <c r="A125" i="33" s="1"/>
  <c r="A126" i="33" s="1"/>
  <c r="A127" i="33" s="1"/>
  <c r="A128" i="33" s="1"/>
  <c r="A129" i="33" s="1"/>
  <c r="A130" i="33" s="1"/>
  <c r="A131" i="33" s="1"/>
  <c r="A132" i="33" s="1"/>
  <c r="A133" i="33" s="1"/>
  <c r="A134" i="33" s="1"/>
  <c r="A135" i="33" s="1"/>
  <c r="A136" i="33" s="1"/>
  <c r="A137" i="33" s="1"/>
  <c r="A138" i="33" s="1"/>
  <c r="A139" i="33" s="1"/>
  <c r="A140" i="33" s="1"/>
  <c r="A141" i="33" s="1"/>
  <c r="A142" i="33" s="1"/>
  <c r="A143" i="33" s="1"/>
  <c r="A144" i="33" s="1"/>
  <c r="A145" i="33" s="1"/>
  <c r="A146" i="33" s="1"/>
  <c r="A147" i="33" s="1"/>
  <c r="A148" i="33" s="1"/>
  <c r="A149" i="33" s="1"/>
  <c r="A150" i="33" s="1"/>
  <c r="A151" i="33" s="1"/>
  <c r="A152" i="33" s="1"/>
  <c r="A153" i="33" s="1"/>
  <c r="A154" i="33" s="1"/>
  <c r="A155" i="33" s="1"/>
  <c r="A156" i="33" s="1"/>
  <c r="A157" i="33" s="1"/>
  <c r="A158" i="33" s="1"/>
  <c r="A159" i="33" s="1"/>
  <c r="A160" i="33" s="1"/>
  <c r="A161" i="33" s="1"/>
  <c r="A162" i="33" s="1"/>
  <c r="A163" i="33" s="1"/>
  <c r="G17" i="33"/>
  <c r="D17" i="33"/>
  <c r="D18" i="33" s="1"/>
  <c r="D19" i="33" s="1"/>
  <c r="D20" i="33" s="1"/>
  <c r="D21" i="33" s="1"/>
  <c r="D22" i="33" s="1"/>
  <c r="D23" i="33" s="1"/>
  <c r="D24" i="33" s="1"/>
  <c r="D25" i="33" s="1"/>
  <c r="D26" i="33" s="1"/>
  <c r="G16" i="33"/>
  <c r="B13" i="33"/>
  <c r="B14" i="33" s="1"/>
  <c r="B15" i="33" s="1"/>
  <c r="B16" i="33" s="1"/>
  <c r="B17" i="33" s="1"/>
  <c r="B18" i="33" s="1"/>
  <c r="D4" i="33"/>
  <c r="E1" i="33"/>
  <c r="J56" i="40" l="1"/>
  <c r="G56" i="40" s="1"/>
  <c r="I56" i="40" s="1"/>
  <c r="C55" i="40"/>
  <c r="B57" i="40"/>
  <c r="I51" i="18"/>
  <c r="G31" i="35"/>
  <c r="F32" i="35"/>
  <c r="O6" i="39"/>
  <c r="F63" i="39"/>
  <c r="E63" i="39"/>
  <c r="C51" i="39"/>
  <c r="B53" i="39"/>
  <c r="J52" i="39"/>
  <c r="G52" i="39" s="1"/>
  <c r="E22" i="36"/>
  <c r="F22" i="36"/>
  <c r="I22" i="36" s="1"/>
  <c r="K4" i="36" s="1"/>
  <c r="C29" i="35"/>
  <c r="K4" i="33"/>
  <c r="F18" i="33"/>
  <c r="G18" i="33" s="1"/>
  <c r="B19" i="33"/>
  <c r="E43" i="33"/>
  <c r="D27" i="33"/>
  <c r="D28" i="33" s="1"/>
  <c r="D29" i="33" s="1"/>
  <c r="D30" i="33" s="1"/>
  <c r="D31" i="33" s="1"/>
  <c r="D32" i="33" s="1"/>
  <c r="D33" i="33" s="1"/>
  <c r="D34" i="33" s="1"/>
  <c r="D35" i="33" s="1"/>
  <c r="D36" i="33" s="1"/>
  <c r="D37" i="33" s="1"/>
  <c r="D38" i="33" s="1"/>
  <c r="D39" i="33" s="1"/>
  <c r="D40" i="33" s="1"/>
  <c r="D41" i="33" s="1"/>
  <c r="D42" i="33" s="1"/>
  <c r="D43" i="33" s="1"/>
  <c r="D44" i="33" s="1"/>
  <c r="B58" i="40" l="1"/>
  <c r="J57" i="40"/>
  <c r="G57" i="40" s="1"/>
  <c r="I57" i="40" s="1"/>
  <c r="C56" i="40"/>
  <c r="K85" i="40"/>
  <c r="F33" i="35"/>
  <c r="G32" i="35"/>
  <c r="J50" i="18"/>
  <c r="F64" i="39"/>
  <c r="I52" i="39"/>
  <c r="E64" i="39"/>
  <c r="C52" i="39"/>
  <c r="B54" i="39"/>
  <c r="J53" i="39"/>
  <c r="G53" i="39" s="1"/>
  <c r="I53" i="39" s="1"/>
  <c r="F23" i="36"/>
  <c r="E23" i="36"/>
  <c r="I30" i="35"/>
  <c r="I31" i="35"/>
  <c r="C30" i="35"/>
  <c r="E36" i="35"/>
  <c r="B20" i="33"/>
  <c r="F19" i="33"/>
  <c r="E44" i="33"/>
  <c r="J58" i="40" l="1"/>
  <c r="G58" i="40" s="1"/>
  <c r="I58" i="40" s="1"/>
  <c r="C57" i="40"/>
  <c r="B59" i="40"/>
  <c r="Q6" i="40"/>
  <c r="L45" i="18" s="1"/>
  <c r="L55" i="18" s="1"/>
  <c r="G33" i="35"/>
  <c r="F34" i="35"/>
  <c r="E65" i="39"/>
  <c r="C53" i="39"/>
  <c r="B55" i="39"/>
  <c r="J54" i="39"/>
  <c r="G54" i="39" s="1"/>
  <c r="I54" i="39" s="1"/>
  <c r="F65" i="39"/>
  <c r="F66" i="39" s="1"/>
  <c r="E24" i="36"/>
  <c r="F24" i="36"/>
  <c r="C31" i="35"/>
  <c r="I32" i="35"/>
  <c r="E37" i="35"/>
  <c r="E45" i="33"/>
  <c r="G19" i="33"/>
  <c r="F20" i="33"/>
  <c r="G20" i="33" s="1"/>
  <c r="B21" i="33"/>
  <c r="D45" i="33"/>
  <c r="C58" i="40" l="1"/>
  <c r="J59" i="40"/>
  <c r="G59" i="40" s="1"/>
  <c r="I59" i="40" s="1"/>
  <c r="B60" i="40"/>
  <c r="G34" i="35"/>
  <c r="F35" i="35"/>
  <c r="D46" i="33"/>
  <c r="C54" i="39"/>
  <c r="B56" i="39"/>
  <c r="J55" i="39"/>
  <c r="G55" i="39" s="1"/>
  <c r="E66" i="39"/>
  <c r="E25" i="36"/>
  <c r="F25" i="36"/>
  <c r="E38" i="35"/>
  <c r="K37" i="35"/>
  <c r="O6" i="35" s="1"/>
  <c r="C32" i="35"/>
  <c r="I33" i="35"/>
  <c r="F21" i="33"/>
  <c r="B22" i="33"/>
  <c r="E46" i="33"/>
  <c r="J60" i="40" l="1"/>
  <c r="G60" i="40" s="1"/>
  <c r="I60" i="40" s="1"/>
  <c r="C59" i="40"/>
  <c r="B61" i="40"/>
  <c r="G35" i="35"/>
  <c r="F36" i="35"/>
  <c r="I55" i="39"/>
  <c r="C55" i="39"/>
  <c r="B57" i="39"/>
  <c r="J56" i="39"/>
  <c r="G56" i="39" s="1"/>
  <c r="I56" i="39" s="1"/>
  <c r="E67" i="39"/>
  <c r="F67" i="39"/>
  <c r="G49" i="21"/>
  <c r="F26" i="36"/>
  <c r="E26" i="36"/>
  <c r="E39" i="35"/>
  <c r="I34" i="35"/>
  <c r="C33" i="35"/>
  <c r="G21" i="33"/>
  <c r="E47" i="33"/>
  <c r="H47" i="33" s="1"/>
  <c r="L4" i="33" s="1"/>
  <c r="D47" i="33"/>
  <c r="B23" i="33"/>
  <c r="F22" i="33"/>
  <c r="G22" i="33" s="1"/>
  <c r="C60" i="40" l="1"/>
  <c r="B62" i="40"/>
  <c r="J61" i="40"/>
  <c r="G61" i="40" s="1"/>
  <c r="G36" i="35"/>
  <c r="F37" i="35"/>
  <c r="C56" i="39"/>
  <c r="B58" i="39"/>
  <c r="J57" i="39"/>
  <c r="G57" i="39" s="1"/>
  <c r="E68" i="39"/>
  <c r="F68" i="39"/>
  <c r="F27" i="36"/>
  <c r="E27" i="36"/>
  <c r="I35" i="35"/>
  <c r="C34" i="35"/>
  <c r="E40" i="35"/>
  <c r="F23" i="33"/>
  <c r="G23" i="33" s="1"/>
  <c r="B24" i="33"/>
  <c r="I61" i="40" l="1"/>
  <c r="L61" i="40"/>
  <c r="J62" i="40"/>
  <c r="G62" i="40" s="1"/>
  <c r="C61" i="40"/>
  <c r="B63" i="40"/>
  <c r="G37" i="35"/>
  <c r="F38" i="35"/>
  <c r="E69" i="39"/>
  <c r="I57" i="39"/>
  <c r="F69" i="39"/>
  <c r="C57" i="39"/>
  <c r="B59" i="39"/>
  <c r="J58" i="39"/>
  <c r="G58" i="39" s="1"/>
  <c r="I58" i="39" s="1"/>
  <c r="F28" i="36"/>
  <c r="E28" i="36"/>
  <c r="C35" i="35"/>
  <c r="I36" i="35"/>
  <c r="E41" i="35"/>
  <c r="I23" i="33"/>
  <c r="J5" i="33" s="1"/>
  <c r="F24" i="33"/>
  <c r="B25" i="33"/>
  <c r="E49" i="33"/>
  <c r="B64" i="40" l="1"/>
  <c r="J63" i="40"/>
  <c r="G63" i="40" s="1"/>
  <c r="I63" i="40" s="1"/>
  <c r="C62" i="40"/>
  <c r="O7" i="40"/>
  <c r="J46" i="18" s="1"/>
  <c r="J56" i="18" s="1"/>
  <c r="I62" i="40"/>
  <c r="G38" i="35"/>
  <c r="F39" i="35"/>
  <c r="F70" i="39"/>
  <c r="C58" i="39"/>
  <c r="B60" i="39"/>
  <c r="J59" i="39"/>
  <c r="G59" i="39" s="1"/>
  <c r="I59" i="39" s="1"/>
  <c r="E70" i="39"/>
  <c r="F71" i="39" s="1"/>
  <c r="E29" i="36"/>
  <c r="F29" i="36"/>
  <c r="C36" i="35"/>
  <c r="F25" i="33"/>
  <c r="G25" i="33" s="1"/>
  <c r="B26" i="33"/>
  <c r="G24" i="33"/>
  <c r="E50" i="33"/>
  <c r="O9" i="40" l="1"/>
  <c r="C63" i="40"/>
  <c r="B65" i="40"/>
  <c r="J64" i="40"/>
  <c r="G64" i="40" s="1"/>
  <c r="F40" i="35"/>
  <c r="G39" i="35"/>
  <c r="C59" i="39"/>
  <c r="B61" i="39"/>
  <c r="J60" i="39"/>
  <c r="G60" i="39" s="1"/>
  <c r="I60" i="39" s="1"/>
  <c r="E71" i="39"/>
  <c r="E30" i="36"/>
  <c r="F30" i="36"/>
  <c r="C37" i="35"/>
  <c r="L37" i="35"/>
  <c r="I37" i="35"/>
  <c r="B27" i="33"/>
  <c r="F26" i="33"/>
  <c r="G26" i="33" s="1"/>
  <c r="E51" i="33"/>
  <c r="I64" i="40" l="1"/>
  <c r="J65" i="40"/>
  <c r="G65" i="40" s="1"/>
  <c r="I65" i="40" s="1"/>
  <c r="C64" i="40"/>
  <c r="B66" i="40"/>
  <c r="G40" i="35"/>
  <c r="F41" i="35"/>
  <c r="C60" i="39"/>
  <c r="B62" i="39"/>
  <c r="J61" i="39"/>
  <c r="G61" i="39" s="1"/>
  <c r="E72" i="39"/>
  <c r="F72" i="39"/>
  <c r="E31" i="36"/>
  <c r="F31" i="36"/>
  <c r="I38" i="35"/>
  <c r="C38" i="35"/>
  <c r="I39" i="35"/>
  <c r="O7" i="35"/>
  <c r="O9" i="35" s="1"/>
  <c r="E52" i="33"/>
  <c r="F27" i="33"/>
  <c r="B28" i="33"/>
  <c r="C65" i="40" l="1"/>
  <c r="B67" i="40"/>
  <c r="J66" i="40"/>
  <c r="G66" i="40" s="1"/>
  <c r="I66" i="40" s="1"/>
  <c r="G41" i="35"/>
  <c r="F42" i="35"/>
  <c r="E73" i="39"/>
  <c r="C61" i="39"/>
  <c r="J62" i="39"/>
  <c r="G62" i="39" s="1"/>
  <c r="B63" i="39"/>
  <c r="I61" i="39"/>
  <c r="L61" i="39"/>
  <c r="F73" i="39"/>
  <c r="F32" i="36"/>
  <c r="E32" i="36"/>
  <c r="E45" i="35"/>
  <c r="I40" i="35"/>
  <c r="C39" i="35"/>
  <c r="G27" i="33"/>
  <c r="E53" i="33"/>
  <c r="B29" i="33"/>
  <c r="F28" i="33"/>
  <c r="G28" i="33" s="1"/>
  <c r="B68" i="40" l="1"/>
  <c r="C66" i="40"/>
  <c r="J67" i="40"/>
  <c r="G67" i="40" s="1"/>
  <c r="I67" i="40" s="1"/>
  <c r="G42" i="35"/>
  <c r="F43" i="35"/>
  <c r="O7" i="39"/>
  <c r="F74" i="39"/>
  <c r="I62" i="39"/>
  <c r="N9" i="39"/>
  <c r="J63" i="39"/>
  <c r="G63" i="39" s="1"/>
  <c r="I63" i="39" s="1"/>
  <c r="C62" i="39"/>
  <c r="B64" i="39"/>
  <c r="E74" i="39"/>
  <c r="K73" i="39"/>
  <c r="E33" i="36"/>
  <c r="F33" i="36"/>
  <c r="I41" i="35"/>
  <c r="C40" i="35"/>
  <c r="E46" i="35"/>
  <c r="F29" i="33"/>
  <c r="G29" i="33" s="1"/>
  <c r="B30" i="33"/>
  <c r="E54" i="33"/>
  <c r="C67" i="40" l="1"/>
  <c r="J68" i="40"/>
  <c r="G68" i="40" s="1"/>
  <c r="B69" i="40"/>
  <c r="J51" i="18"/>
  <c r="F44" i="35"/>
  <c r="G43" i="35"/>
  <c r="P6" i="39"/>
  <c r="F75" i="39"/>
  <c r="E75" i="39"/>
  <c r="J64" i="39"/>
  <c r="G64" i="39" s="1"/>
  <c r="I64" i="39" s="1"/>
  <c r="C63" i="39"/>
  <c r="B65" i="39"/>
  <c r="F34" i="36"/>
  <c r="I34" i="36" s="1"/>
  <c r="L4" i="36" s="1"/>
  <c r="E34" i="36"/>
  <c r="C41" i="35"/>
  <c r="E47" i="35"/>
  <c r="E55" i="33"/>
  <c r="F30" i="33"/>
  <c r="G30" i="33" s="1"/>
  <c r="B31" i="33"/>
  <c r="B70" i="40" l="1"/>
  <c r="J69" i="40"/>
  <c r="G69" i="40" s="1"/>
  <c r="I69" i="40" s="1"/>
  <c r="C68" i="40"/>
  <c r="I68" i="40"/>
  <c r="K97" i="40"/>
  <c r="K50" i="18"/>
  <c r="G44" i="35"/>
  <c r="F45" i="35"/>
  <c r="J65" i="39"/>
  <c r="G65" i="39" s="1"/>
  <c r="I65" i="39" s="1"/>
  <c r="C64" i="39"/>
  <c r="B66" i="39"/>
  <c r="E76" i="39"/>
  <c r="F76" i="39"/>
  <c r="F35" i="36"/>
  <c r="E35" i="36"/>
  <c r="E48" i="35"/>
  <c r="I42" i="35"/>
  <c r="C42" i="35"/>
  <c r="I43" i="35"/>
  <c r="E56" i="33"/>
  <c r="B32" i="33"/>
  <c r="F31" i="33"/>
  <c r="G31" i="33" s="1"/>
  <c r="R6" i="40" l="1"/>
  <c r="M45" i="18" s="1"/>
  <c r="M55" i="18" s="1"/>
  <c r="C69" i="40"/>
  <c r="B71" i="40"/>
  <c r="J70" i="40"/>
  <c r="G70" i="40" s="1"/>
  <c r="I70" i="40" s="1"/>
  <c r="G45" i="35"/>
  <c r="F46" i="35"/>
  <c r="F77" i="39"/>
  <c r="B67" i="39"/>
  <c r="J66" i="39"/>
  <c r="G66" i="39" s="1"/>
  <c r="C65" i="39"/>
  <c r="E77" i="39"/>
  <c r="E36" i="36"/>
  <c r="F36" i="36"/>
  <c r="I44" i="35"/>
  <c r="C43" i="35"/>
  <c r="E49" i="35"/>
  <c r="F32" i="33"/>
  <c r="G32" i="33" s="1"/>
  <c r="B33" i="33"/>
  <c r="E57" i="33"/>
  <c r="E58" i="33" s="1"/>
  <c r="C70" i="40" l="1"/>
  <c r="B72" i="40"/>
  <c r="J71" i="40"/>
  <c r="G71" i="40" s="1"/>
  <c r="I71" i="40" s="1"/>
  <c r="G46" i="35"/>
  <c r="F47" i="35"/>
  <c r="D57" i="33"/>
  <c r="D56" i="33" s="1"/>
  <c r="D55" i="33" s="1"/>
  <c r="D54" i="33" s="1"/>
  <c r="D53" i="33" s="1"/>
  <c r="D52" i="33" s="1"/>
  <c r="D51" i="33" s="1"/>
  <c r="D50" i="33" s="1"/>
  <c r="D49" i="33" s="1"/>
  <c r="D48" i="33" s="1"/>
  <c r="D59" i="33"/>
  <c r="F78" i="39"/>
  <c r="I66" i="39"/>
  <c r="E78" i="39"/>
  <c r="B68" i="39"/>
  <c r="C66" i="39"/>
  <c r="J67" i="39"/>
  <c r="G67" i="39" s="1"/>
  <c r="I67" i="39" s="1"/>
  <c r="H49" i="21"/>
  <c r="E37" i="36"/>
  <c r="J37" i="36" s="1"/>
  <c r="F37" i="36"/>
  <c r="I45" i="35"/>
  <c r="C44" i="35"/>
  <c r="E50" i="35"/>
  <c r="K49" i="35"/>
  <c r="P6" i="35" s="1"/>
  <c r="B34" i="33"/>
  <c r="F33" i="33"/>
  <c r="G33" i="33" s="1"/>
  <c r="C71" i="40" l="1"/>
  <c r="B73" i="40"/>
  <c r="J72" i="40"/>
  <c r="G72" i="40" s="1"/>
  <c r="I72" i="40" s="1"/>
  <c r="G47" i="35"/>
  <c r="F48" i="35"/>
  <c r="B69" i="39"/>
  <c r="J68" i="39"/>
  <c r="G68" i="39" s="1"/>
  <c r="C67" i="39"/>
  <c r="E79" i="39"/>
  <c r="F79" i="39"/>
  <c r="F38" i="36"/>
  <c r="E38" i="36"/>
  <c r="C45" i="35"/>
  <c r="I46" i="35"/>
  <c r="E51" i="35"/>
  <c r="E59" i="33"/>
  <c r="H59" i="33" s="1"/>
  <c r="M4" i="33" s="1"/>
  <c r="F34" i="33"/>
  <c r="G34" i="33" s="1"/>
  <c r="B35" i="33"/>
  <c r="C72" i="40" l="1"/>
  <c r="B74" i="40"/>
  <c r="J73" i="40"/>
  <c r="G73" i="40" s="1"/>
  <c r="G48" i="35"/>
  <c r="F49" i="35"/>
  <c r="F80" i="39"/>
  <c r="I68" i="39"/>
  <c r="E80" i="39"/>
  <c r="C68" i="39"/>
  <c r="B70" i="39"/>
  <c r="J69" i="39"/>
  <c r="G69" i="39" s="1"/>
  <c r="I69" i="39" s="1"/>
  <c r="E39" i="36"/>
  <c r="F39" i="36"/>
  <c r="E52" i="35"/>
  <c r="C46" i="35"/>
  <c r="I47" i="35"/>
  <c r="E60" i="33"/>
  <c r="F35" i="33"/>
  <c r="B36" i="33"/>
  <c r="D60" i="33"/>
  <c r="I73" i="40" l="1"/>
  <c r="L73" i="40"/>
  <c r="C73" i="40"/>
  <c r="J74" i="40"/>
  <c r="G74" i="40" s="1"/>
  <c r="B75" i="40"/>
  <c r="D61" i="33"/>
  <c r="G49" i="35"/>
  <c r="F50" i="35"/>
  <c r="B71" i="39"/>
  <c r="J70" i="39"/>
  <c r="G70" i="39" s="1"/>
  <c r="I70" i="39" s="1"/>
  <c r="C69" i="39"/>
  <c r="E81" i="39"/>
  <c r="F81" i="39"/>
  <c r="F40" i="36"/>
  <c r="E40" i="36"/>
  <c r="I48" i="35"/>
  <c r="C47" i="35"/>
  <c r="E53" i="35"/>
  <c r="G35" i="33"/>
  <c r="I35" i="33"/>
  <c r="K5" i="33" s="1"/>
  <c r="F36" i="33"/>
  <c r="B37" i="33"/>
  <c r="E61" i="33"/>
  <c r="J75" i="40" l="1"/>
  <c r="G75" i="40" s="1"/>
  <c r="I75" i="40" s="1"/>
  <c r="C74" i="40"/>
  <c r="B76" i="40"/>
  <c r="I74" i="40"/>
  <c r="P7" i="40"/>
  <c r="K46" i="18" s="1"/>
  <c r="K56" i="18" s="1"/>
  <c r="G50" i="35"/>
  <c r="F51" i="35"/>
  <c r="F82" i="39"/>
  <c r="E82" i="39"/>
  <c r="C70" i="39"/>
  <c r="B72" i="39"/>
  <c r="J71" i="39"/>
  <c r="G71" i="39" s="1"/>
  <c r="I71" i="39" s="1"/>
  <c r="F41" i="36"/>
  <c r="E41" i="36"/>
  <c r="E54" i="35"/>
  <c r="C48" i="35"/>
  <c r="G36" i="33"/>
  <c r="E62" i="33"/>
  <c r="D62" i="33"/>
  <c r="B38" i="33"/>
  <c r="F37" i="33"/>
  <c r="G37" i="33" s="1"/>
  <c r="B77" i="40" l="1"/>
  <c r="J76" i="40"/>
  <c r="G76" i="40" s="1"/>
  <c r="C75" i="40"/>
  <c r="P9" i="40"/>
  <c r="G51" i="35"/>
  <c r="F52" i="35"/>
  <c r="E83" i="39"/>
  <c r="B73" i="39"/>
  <c r="J72" i="39"/>
  <c r="G72" i="39" s="1"/>
  <c r="I72" i="39" s="1"/>
  <c r="C71" i="39"/>
  <c r="F83" i="39"/>
  <c r="E42" i="36"/>
  <c r="F42" i="36"/>
  <c r="L49" i="35"/>
  <c r="I49" i="35"/>
  <c r="E55" i="35"/>
  <c r="C49" i="35"/>
  <c r="G57" i="21"/>
  <c r="F38" i="33"/>
  <c r="G38" i="33" s="1"/>
  <c r="B39" i="33"/>
  <c r="D63" i="33"/>
  <c r="E63" i="33"/>
  <c r="I76" i="40" l="1"/>
  <c r="B78" i="40"/>
  <c r="J77" i="40"/>
  <c r="G77" i="40" s="1"/>
  <c r="I77" i="40" s="1"/>
  <c r="C76" i="40"/>
  <c r="F84" i="39"/>
  <c r="F53" i="35"/>
  <c r="G52" i="35"/>
  <c r="E84" i="39"/>
  <c r="B74" i="39"/>
  <c r="C72" i="39"/>
  <c r="J73" i="39"/>
  <c r="G73" i="39" s="1"/>
  <c r="E43" i="36"/>
  <c r="F43" i="36"/>
  <c r="I51" i="35"/>
  <c r="C50" i="35"/>
  <c r="I50" i="35"/>
  <c r="P7" i="35"/>
  <c r="P9" i="35" s="1"/>
  <c r="E56" i="35"/>
  <c r="D64" i="33"/>
  <c r="F39" i="33"/>
  <c r="G39" i="33" s="1"/>
  <c r="B40" i="33"/>
  <c r="E64" i="33"/>
  <c r="C77" i="40" l="1"/>
  <c r="J78" i="40"/>
  <c r="G78" i="40" s="1"/>
  <c r="I78" i="40" s="1"/>
  <c r="B79" i="40"/>
  <c r="G53" i="35"/>
  <c r="F54" i="35"/>
  <c r="J74" i="39"/>
  <c r="G74" i="39" s="1"/>
  <c r="B75" i="39"/>
  <c r="C73" i="39"/>
  <c r="E85" i="39"/>
  <c r="I73" i="39"/>
  <c r="L73" i="39"/>
  <c r="F85" i="39"/>
  <c r="E44" i="36"/>
  <c r="F44" i="36"/>
  <c r="E57" i="35"/>
  <c r="C51" i="35"/>
  <c r="B41" i="33"/>
  <c r="F40" i="33"/>
  <c r="E65" i="33"/>
  <c r="D65" i="33"/>
  <c r="D66" i="33" s="1"/>
  <c r="C78" i="40" l="1"/>
  <c r="B80" i="40"/>
  <c r="J79" i="40"/>
  <c r="G79" i="40" s="1"/>
  <c r="G54" i="35"/>
  <c r="F55" i="35"/>
  <c r="P7" i="39"/>
  <c r="F86" i="39"/>
  <c r="C74" i="39"/>
  <c r="B76" i="39"/>
  <c r="J75" i="39"/>
  <c r="G75" i="39" s="1"/>
  <c r="I75" i="39" s="1"/>
  <c r="O9" i="39"/>
  <c r="E86" i="39"/>
  <c r="K85" i="39"/>
  <c r="I74" i="39"/>
  <c r="E45" i="36"/>
  <c r="F45" i="36"/>
  <c r="I52" i="35"/>
  <c r="E58" i="35"/>
  <c r="C52" i="35"/>
  <c r="I53" i="35"/>
  <c r="G40" i="33"/>
  <c r="E66" i="33"/>
  <c r="F41" i="33"/>
  <c r="G41" i="33" s="1"/>
  <c r="B42" i="33"/>
  <c r="I79" i="40" l="1"/>
  <c r="B81" i="40"/>
  <c r="J80" i="40"/>
  <c r="G80" i="40" s="1"/>
  <c r="I80" i="40" s="1"/>
  <c r="C79" i="40"/>
  <c r="K51" i="18"/>
  <c r="G55" i="35"/>
  <c r="F56" i="35"/>
  <c r="Q6" i="39"/>
  <c r="F87" i="39"/>
  <c r="C75" i="39"/>
  <c r="B77" i="39"/>
  <c r="J76" i="39"/>
  <c r="G76" i="39" s="1"/>
  <c r="E87" i="39"/>
  <c r="E46" i="36"/>
  <c r="F46" i="36"/>
  <c r="I46" i="36" s="1"/>
  <c r="M4" i="36" s="1"/>
  <c r="H41" i="18" s="1"/>
  <c r="E59" i="35"/>
  <c r="I54" i="35"/>
  <c r="C53" i="35"/>
  <c r="E67" i="33"/>
  <c r="B43" i="33"/>
  <c r="F42" i="33"/>
  <c r="G42" i="33" s="1"/>
  <c r="D67" i="33"/>
  <c r="K109" i="40" l="1"/>
  <c r="S6" i="40" s="1"/>
  <c r="N45" i="18" s="1"/>
  <c r="N55" i="18" s="1"/>
  <c r="B82" i="40"/>
  <c r="J81" i="40"/>
  <c r="G81" i="40" s="1"/>
  <c r="I81" i="40" s="1"/>
  <c r="C80" i="40"/>
  <c r="G56" i="35"/>
  <c r="F57" i="35"/>
  <c r="L50" i="18"/>
  <c r="F35" i="21"/>
  <c r="F33" i="21" s="1"/>
  <c r="E88" i="39"/>
  <c r="I76" i="39"/>
  <c r="C76" i="39"/>
  <c r="B78" i="39"/>
  <c r="J77" i="39"/>
  <c r="G77" i="39" s="1"/>
  <c r="I77" i="39" s="1"/>
  <c r="F88" i="39"/>
  <c r="D68" i="33"/>
  <c r="F47" i="36"/>
  <c r="E47" i="36"/>
  <c r="E60" i="35"/>
  <c r="I55" i="35"/>
  <c r="C54" i="35"/>
  <c r="F43" i="33"/>
  <c r="G43" i="33" s="1"/>
  <c r="B44" i="33"/>
  <c r="E68" i="33"/>
  <c r="B83" i="40" l="1"/>
  <c r="C81" i="40"/>
  <c r="J82" i="40"/>
  <c r="G82" i="40" s="1"/>
  <c r="I82" i="40" s="1"/>
  <c r="G57" i="35"/>
  <c r="F58" i="35"/>
  <c r="F89" i="39"/>
  <c r="C77" i="39"/>
  <c r="B79" i="39"/>
  <c r="J78" i="39"/>
  <c r="G78" i="39" s="1"/>
  <c r="I78" i="39" s="1"/>
  <c r="E89" i="39"/>
  <c r="F90" i="39" s="1"/>
  <c r="F48" i="36"/>
  <c r="E48" i="36"/>
  <c r="E61" i="35"/>
  <c r="I56" i="35"/>
  <c r="C55" i="35"/>
  <c r="B45" i="33"/>
  <c r="F44" i="33"/>
  <c r="G44" i="33" s="1"/>
  <c r="E69" i="33"/>
  <c r="D69" i="33"/>
  <c r="J83" i="40" l="1"/>
  <c r="G83" i="40" s="1"/>
  <c r="I83" i="40" s="1"/>
  <c r="C82" i="40"/>
  <c r="B84" i="40"/>
  <c r="G58" i="35"/>
  <c r="F59" i="35"/>
  <c r="C78" i="39"/>
  <c r="B80" i="39"/>
  <c r="J79" i="39"/>
  <c r="G79" i="39" s="1"/>
  <c r="I79" i="39" s="1"/>
  <c r="F91" i="39"/>
  <c r="E90" i="39"/>
  <c r="I49" i="21"/>
  <c r="F49" i="36"/>
  <c r="E49" i="36"/>
  <c r="E62" i="35"/>
  <c r="K61" i="35"/>
  <c r="Q6" i="35" s="1"/>
  <c r="H35" i="18" s="1"/>
  <c r="C56" i="35"/>
  <c r="I57" i="35"/>
  <c r="E70" i="33"/>
  <c r="D70" i="33"/>
  <c r="F45" i="33"/>
  <c r="G45" i="33" s="1"/>
  <c r="B46" i="33"/>
  <c r="B85" i="40" l="1"/>
  <c r="J84" i="40"/>
  <c r="G84" i="40" s="1"/>
  <c r="I84" i="40" s="1"/>
  <c r="C83" i="40"/>
  <c r="G59" i="35"/>
  <c r="F60" i="35"/>
  <c r="D71" i="33"/>
  <c r="C79" i="39"/>
  <c r="B81" i="39"/>
  <c r="J80" i="39"/>
  <c r="G80" i="39" s="1"/>
  <c r="E91" i="39"/>
  <c r="F92" i="39" s="1"/>
  <c r="F30" i="21"/>
  <c r="F50" i="36"/>
  <c r="E50" i="36"/>
  <c r="I58" i="35"/>
  <c r="C57" i="35"/>
  <c r="E63" i="35"/>
  <c r="D72" i="33"/>
  <c r="B47" i="33"/>
  <c r="F46" i="33"/>
  <c r="G46" i="33" s="1"/>
  <c r="E71" i="33"/>
  <c r="H71" i="33" s="1"/>
  <c r="N4" i="33" s="1"/>
  <c r="B86" i="40" l="1"/>
  <c r="C84" i="40"/>
  <c r="J85" i="40"/>
  <c r="G85" i="40" s="1"/>
  <c r="F61" i="35"/>
  <c r="G60" i="35"/>
  <c r="C80" i="39"/>
  <c r="B82" i="39"/>
  <c r="J81" i="39"/>
  <c r="G81" i="39" s="1"/>
  <c r="I81" i="39" s="1"/>
  <c r="I80" i="39"/>
  <c r="E92" i="39"/>
  <c r="F93" i="39" s="1"/>
  <c r="F51" i="36"/>
  <c r="E51" i="36"/>
  <c r="I59" i="35"/>
  <c r="C58" i="35"/>
  <c r="E64" i="35"/>
  <c r="F47" i="33"/>
  <c r="B48" i="33"/>
  <c r="E72" i="33"/>
  <c r="J86" i="40" l="1"/>
  <c r="G86" i="40" s="1"/>
  <c r="C85" i="40"/>
  <c r="B87" i="40"/>
  <c r="I85" i="40"/>
  <c r="L85" i="40"/>
  <c r="G61" i="35"/>
  <c r="F62" i="35"/>
  <c r="C81" i="39"/>
  <c r="B83" i="39"/>
  <c r="J82" i="39"/>
  <c r="G82" i="39" s="1"/>
  <c r="I82" i="39" s="1"/>
  <c r="E93" i="39"/>
  <c r="F94" i="39" s="1"/>
  <c r="F52" i="36"/>
  <c r="E52" i="36"/>
  <c r="I60" i="35"/>
  <c r="C59" i="35"/>
  <c r="E65" i="35"/>
  <c r="G47" i="33"/>
  <c r="I47" i="33"/>
  <c r="L5" i="33" s="1"/>
  <c r="B49" i="33"/>
  <c r="F48" i="33"/>
  <c r="E73" i="33"/>
  <c r="D73" i="33"/>
  <c r="Q7" i="40" l="1"/>
  <c r="L46" i="18" s="1"/>
  <c r="L56" i="18" s="1"/>
  <c r="B88" i="40"/>
  <c r="C86" i="40"/>
  <c r="J87" i="40"/>
  <c r="G87" i="40" s="1"/>
  <c r="I87" i="40" s="1"/>
  <c r="I86" i="40"/>
  <c r="G62" i="35"/>
  <c r="F63" i="35"/>
  <c r="C82" i="39"/>
  <c r="B84" i="39"/>
  <c r="J83" i="39"/>
  <c r="G83" i="39" s="1"/>
  <c r="I83" i="39" s="1"/>
  <c r="E94" i="39"/>
  <c r="F53" i="36"/>
  <c r="E53" i="36"/>
  <c r="E66" i="35"/>
  <c r="C60" i="35"/>
  <c r="G48" i="33"/>
  <c r="E74" i="33"/>
  <c r="D74" i="33"/>
  <c r="D75" i="33" s="1"/>
  <c r="F49" i="33"/>
  <c r="G49" i="33" s="1"/>
  <c r="B50" i="33"/>
  <c r="B89" i="40" l="1"/>
  <c r="J88" i="40"/>
  <c r="G88" i="40" s="1"/>
  <c r="C87" i="40"/>
  <c r="Q9" i="40"/>
  <c r="G63" i="35"/>
  <c r="F64" i="35"/>
  <c r="C83" i="39"/>
  <c r="B85" i="39"/>
  <c r="J84" i="39"/>
  <c r="G84" i="39" s="1"/>
  <c r="I84" i="39" s="1"/>
  <c r="E95" i="39"/>
  <c r="F95" i="39"/>
  <c r="F54" i="36"/>
  <c r="E54" i="36"/>
  <c r="L61" i="35"/>
  <c r="I61" i="35"/>
  <c r="E67" i="35"/>
  <c r="C61" i="35"/>
  <c r="H57" i="21"/>
  <c r="D76" i="33"/>
  <c r="B51" i="33"/>
  <c r="F50" i="33"/>
  <c r="E75" i="33"/>
  <c r="I88" i="40" l="1"/>
  <c r="B90" i="40"/>
  <c r="C88" i="40"/>
  <c r="J89" i="40"/>
  <c r="G89" i="40" s="1"/>
  <c r="I89" i="40" s="1"/>
  <c r="G64" i="35"/>
  <c r="F65" i="35"/>
  <c r="F96" i="39"/>
  <c r="E96" i="39"/>
  <c r="C84" i="39"/>
  <c r="B86" i="39"/>
  <c r="J85" i="39"/>
  <c r="G85" i="39" s="1"/>
  <c r="E55" i="36"/>
  <c r="F55" i="36"/>
  <c r="I62" i="35"/>
  <c r="Q7" i="35"/>
  <c r="Q9" i="35" s="1"/>
  <c r="C62" i="35"/>
  <c r="I63" i="35"/>
  <c r="E68" i="35"/>
  <c r="G50" i="33"/>
  <c r="F51" i="33"/>
  <c r="G51" i="33" s="1"/>
  <c r="B52" i="33"/>
  <c r="E76" i="33"/>
  <c r="C89" i="40" l="1"/>
  <c r="J90" i="40"/>
  <c r="G90" i="40" s="1"/>
  <c r="I90" i="40" s="1"/>
  <c r="B91" i="40"/>
  <c r="G65" i="35"/>
  <c r="F66" i="35"/>
  <c r="F97" i="39"/>
  <c r="I85" i="39"/>
  <c r="L85" i="39"/>
  <c r="C85" i="39"/>
  <c r="J86" i="39"/>
  <c r="G86" i="39" s="1"/>
  <c r="B87" i="39"/>
  <c r="E97" i="39"/>
  <c r="E56" i="36"/>
  <c r="F56" i="36"/>
  <c r="H36" i="18"/>
  <c r="F31" i="21" s="1"/>
  <c r="F29" i="21" s="1"/>
  <c r="E69" i="35"/>
  <c r="I64" i="35"/>
  <c r="C63" i="35"/>
  <c r="E77" i="33"/>
  <c r="B53" i="33"/>
  <c r="F52" i="33"/>
  <c r="D77" i="33"/>
  <c r="B92" i="40" l="1"/>
  <c r="C90" i="40"/>
  <c r="J91" i="40"/>
  <c r="G91" i="40" s="1"/>
  <c r="I91" i="40" s="1"/>
  <c r="G66" i="35"/>
  <c r="F67" i="35"/>
  <c r="P9" i="39"/>
  <c r="Q7" i="39"/>
  <c r="J87" i="39"/>
  <c r="G87" i="39" s="1"/>
  <c r="I87" i="39" s="1"/>
  <c r="C86" i="39"/>
  <c r="B88" i="39"/>
  <c r="E98" i="39"/>
  <c r="K97" i="39"/>
  <c r="I86" i="39"/>
  <c r="F98" i="39"/>
  <c r="D78" i="33"/>
  <c r="E57" i="36"/>
  <c r="F57" i="36"/>
  <c r="I65" i="35"/>
  <c r="C64" i="35"/>
  <c r="E70" i="35"/>
  <c r="G52" i="33"/>
  <c r="F53" i="33"/>
  <c r="G53" i="33" s="1"/>
  <c r="B54" i="33"/>
  <c r="E78" i="33"/>
  <c r="J92" i="40" l="1"/>
  <c r="G92" i="40" s="1"/>
  <c r="B93" i="40"/>
  <c r="C91" i="40"/>
  <c r="L51" i="18"/>
  <c r="G67" i="35"/>
  <c r="F68" i="35"/>
  <c r="D79" i="33"/>
  <c r="R6" i="39"/>
  <c r="F99" i="39"/>
  <c r="J88" i="39"/>
  <c r="G88" i="39" s="1"/>
  <c r="C87" i="39"/>
  <c r="B89" i="39"/>
  <c r="E99" i="39"/>
  <c r="F58" i="36"/>
  <c r="I58" i="36" s="1"/>
  <c r="N4" i="36" s="1"/>
  <c r="I41" i="18" s="1"/>
  <c r="E58" i="36"/>
  <c r="C65" i="35"/>
  <c r="E71" i="35"/>
  <c r="B55" i="33"/>
  <c r="F54" i="33"/>
  <c r="E79" i="33"/>
  <c r="B94" i="40" l="1"/>
  <c r="J93" i="40"/>
  <c r="G93" i="40" s="1"/>
  <c r="I93" i="40" s="1"/>
  <c r="C92" i="40"/>
  <c r="K121" i="40"/>
  <c r="T6" i="40" s="1"/>
  <c r="O45" i="18" s="1"/>
  <c r="O55" i="18" s="1"/>
  <c r="I92" i="40"/>
  <c r="M50" i="18"/>
  <c r="G68" i="35"/>
  <c r="F69" i="35"/>
  <c r="G35" i="21"/>
  <c r="G33" i="21" s="1"/>
  <c r="J89" i="39"/>
  <c r="G89" i="39" s="1"/>
  <c r="I89" i="39" s="1"/>
  <c r="C88" i="39"/>
  <c r="B90" i="39"/>
  <c r="E100" i="39"/>
  <c r="F100" i="39"/>
  <c r="I88" i="39"/>
  <c r="F59" i="36"/>
  <c r="E59" i="36"/>
  <c r="C66" i="35"/>
  <c r="I67" i="35"/>
  <c r="E72" i="35"/>
  <c r="I66" i="35"/>
  <c r="G54" i="33"/>
  <c r="E80" i="33"/>
  <c r="D80" i="33"/>
  <c r="F55" i="33"/>
  <c r="G55" i="33" s="1"/>
  <c r="B56" i="33"/>
  <c r="B95" i="40" l="1"/>
  <c r="C93" i="40"/>
  <c r="J94" i="40"/>
  <c r="G94" i="40" s="1"/>
  <c r="I94" i="40" s="1"/>
  <c r="G69" i="35"/>
  <c r="F70" i="35"/>
  <c r="E101" i="39"/>
  <c r="F101" i="39"/>
  <c r="J90" i="39"/>
  <c r="G90" i="39" s="1"/>
  <c r="C89" i="39"/>
  <c r="B91" i="39"/>
  <c r="D81" i="33"/>
  <c r="E60" i="36"/>
  <c r="F60" i="36"/>
  <c r="C67" i="35"/>
  <c r="E73" i="35"/>
  <c r="F56" i="33"/>
  <c r="B57" i="33"/>
  <c r="E81" i="33"/>
  <c r="B96" i="40" l="1"/>
  <c r="J95" i="40"/>
  <c r="G95" i="40" s="1"/>
  <c r="I95" i="40" s="1"/>
  <c r="C94" i="40"/>
  <c r="D82" i="33"/>
  <c r="G70" i="35"/>
  <c r="F71" i="35"/>
  <c r="F102" i="39"/>
  <c r="J91" i="39"/>
  <c r="G91" i="39" s="1"/>
  <c r="I91" i="39" s="1"/>
  <c r="C90" i="39"/>
  <c r="B92" i="39"/>
  <c r="E102" i="39"/>
  <c r="I90" i="39"/>
  <c r="J49" i="21"/>
  <c r="F61" i="36"/>
  <c r="E61" i="36"/>
  <c r="E74" i="35"/>
  <c r="K73" i="35"/>
  <c r="R6" i="35" s="1"/>
  <c r="I35" i="18" s="1"/>
  <c r="I68" i="35"/>
  <c r="I69" i="35"/>
  <c r="C68" i="35"/>
  <c r="G56" i="33"/>
  <c r="E82" i="33"/>
  <c r="D83" i="33" s="1"/>
  <c r="F57" i="33"/>
  <c r="G57" i="33" s="1"/>
  <c r="B58" i="33"/>
  <c r="F58" i="33" s="1"/>
  <c r="J96" i="40" l="1"/>
  <c r="G96" i="40" s="1"/>
  <c r="I96" i="40" s="1"/>
  <c r="C95" i="40"/>
  <c r="B97" i="40"/>
  <c r="G71" i="35"/>
  <c r="F72" i="35"/>
  <c r="J92" i="39"/>
  <c r="G92" i="39" s="1"/>
  <c r="C91" i="39"/>
  <c r="B93" i="39"/>
  <c r="E103" i="39"/>
  <c r="F103" i="39"/>
  <c r="G30" i="21"/>
  <c r="E62" i="36"/>
  <c r="F62" i="36"/>
  <c r="I70" i="35"/>
  <c r="C69" i="35"/>
  <c r="E75" i="35"/>
  <c r="G58" i="33"/>
  <c r="B59" i="33"/>
  <c r="E83" i="33"/>
  <c r="H83" i="33" s="1"/>
  <c r="O4" i="33" s="1"/>
  <c r="H30" i="18" s="1"/>
  <c r="C96" i="40" l="1"/>
  <c r="J97" i="40"/>
  <c r="G97" i="40" s="1"/>
  <c r="B98" i="40"/>
  <c r="F42" i="21"/>
  <c r="G72" i="35"/>
  <c r="F73" i="35"/>
  <c r="J93" i="39"/>
  <c r="G93" i="39" s="1"/>
  <c r="I93" i="39" s="1"/>
  <c r="C92" i="39"/>
  <c r="B94" i="39"/>
  <c r="E104" i="39"/>
  <c r="F104" i="39"/>
  <c r="I92" i="39"/>
  <c r="D84" i="33"/>
  <c r="F63" i="36"/>
  <c r="E63" i="36"/>
  <c r="E76" i="35"/>
  <c r="C70" i="35"/>
  <c r="I71" i="35"/>
  <c r="F59" i="33"/>
  <c r="B60" i="33"/>
  <c r="E84" i="33"/>
  <c r="I97" i="40" l="1"/>
  <c r="L97" i="40"/>
  <c r="R7" i="40" s="1"/>
  <c r="B99" i="40"/>
  <c r="J98" i="40"/>
  <c r="G98" i="40" s="1"/>
  <c r="C97" i="40"/>
  <c r="G73" i="35"/>
  <c r="F74" i="35"/>
  <c r="J94" i="39"/>
  <c r="G94" i="39" s="1"/>
  <c r="C93" i="39"/>
  <c r="B95" i="39"/>
  <c r="F105" i="39"/>
  <c r="E105" i="39"/>
  <c r="E64" i="36"/>
  <c r="F64" i="36"/>
  <c r="E77" i="35"/>
  <c r="C71" i="35"/>
  <c r="I72" i="35"/>
  <c r="G59" i="33"/>
  <c r="I59" i="33"/>
  <c r="M5" i="33" s="1"/>
  <c r="E85" i="33"/>
  <c r="F60" i="33"/>
  <c r="B61" i="33"/>
  <c r="D85" i="33"/>
  <c r="R9" i="40" l="1"/>
  <c r="M46" i="18"/>
  <c r="M56" i="18" s="1"/>
  <c r="I98" i="40"/>
  <c r="J99" i="40"/>
  <c r="G99" i="40" s="1"/>
  <c r="I99" i="40" s="1"/>
  <c r="C98" i="40"/>
  <c r="B100" i="40"/>
  <c r="F75" i="35"/>
  <c r="G74" i="35"/>
  <c r="D86" i="33"/>
  <c r="F106" i="39"/>
  <c r="J95" i="39"/>
  <c r="G95" i="39" s="1"/>
  <c r="I95" i="39" s="1"/>
  <c r="C94" i="39"/>
  <c r="B96" i="39"/>
  <c r="E106" i="39"/>
  <c r="I94" i="39"/>
  <c r="E65" i="36"/>
  <c r="F65" i="36"/>
  <c r="C72" i="35"/>
  <c r="E78" i="35"/>
  <c r="G60" i="33"/>
  <c r="F61" i="33"/>
  <c r="G61" i="33" s="1"/>
  <c r="B62" i="33"/>
  <c r="E86" i="33"/>
  <c r="D87" i="33" s="1"/>
  <c r="B101" i="40" l="1"/>
  <c r="J100" i="40"/>
  <c r="G100" i="40" s="1"/>
  <c r="I100" i="40" s="1"/>
  <c r="C99" i="40"/>
  <c r="G75" i="35"/>
  <c r="F76" i="35"/>
  <c r="J96" i="39"/>
  <c r="G96" i="39" s="1"/>
  <c r="I96" i="39" s="1"/>
  <c r="C95" i="39"/>
  <c r="B97" i="39"/>
  <c r="E107" i="39"/>
  <c r="F107" i="39"/>
  <c r="F66" i="36"/>
  <c r="E66" i="36"/>
  <c r="E79" i="35"/>
  <c r="C73" i="35"/>
  <c r="I73" i="35"/>
  <c r="L73" i="35"/>
  <c r="I57" i="21"/>
  <c r="F62" i="33"/>
  <c r="G62" i="33" s="1"/>
  <c r="B63" i="33"/>
  <c r="E87" i="33"/>
  <c r="J101" i="40" l="1"/>
  <c r="G101" i="40" s="1"/>
  <c r="B102" i="40"/>
  <c r="C100" i="40"/>
  <c r="G76" i="35"/>
  <c r="F77" i="35"/>
  <c r="B98" i="39"/>
  <c r="J97" i="39"/>
  <c r="G97" i="39" s="1"/>
  <c r="C96" i="39"/>
  <c r="F108" i="39"/>
  <c r="E108" i="39"/>
  <c r="F67" i="36"/>
  <c r="E67" i="36"/>
  <c r="I74" i="35"/>
  <c r="E80" i="35"/>
  <c r="R7" i="35"/>
  <c r="R9" i="35" s="1"/>
  <c r="I75" i="35"/>
  <c r="C74" i="35"/>
  <c r="F63" i="33"/>
  <c r="B64" i="33"/>
  <c r="E88" i="33"/>
  <c r="D88" i="33"/>
  <c r="I101" i="40" l="1"/>
  <c r="C101" i="40"/>
  <c r="B103" i="40"/>
  <c r="J102" i="40"/>
  <c r="G102" i="40" s="1"/>
  <c r="I102" i="40" s="1"/>
  <c r="G77" i="35"/>
  <c r="F78" i="35"/>
  <c r="F109" i="39"/>
  <c r="E109" i="39"/>
  <c r="I97" i="39"/>
  <c r="L97" i="39"/>
  <c r="B99" i="39"/>
  <c r="C97" i="39"/>
  <c r="J98" i="39"/>
  <c r="G98" i="39" s="1"/>
  <c r="E68" i="36"/>
  <c r="F68" i="36"/>
  <c r="I36" i="18"/>
  <c r="C75" i="35"/>
  <c r="I76" i="35"/>
  <c r="E81" i="35"/>
  <c r="G63" i="33"/>
  <c r="B65" i="33"/>
  <c r="F64" i="33"/>
  <c r="G64" i="33" s="1"/>
  <c r="D89" i="33"/>
  <c r="E89" i="33"/>
  <c r="J103" i="40" l="1"/>
  <c r="G103" i="40" s="1"/>
  <c r="I103" i="40" s="1"/>
  <c r="B104" i="40"/>
  <c r="C102" i="40"/>
  <c r="G78" i="35"/>
  <c r="F79" i="35"/>
  <c r="Q9" i="39"/>
  <c r="R7" i="39"/>
  <c r="I98" i="39"/>
  <c r="J99" i="39"/>
  <c r="G99" i="39" s="1"/>
  <c r="I99" i="39" s="1"/>
  <c r="C98" i="39"/>
  <c r="B100" i="39"/>
  <c r="E110" i="39"/>
  <c r="K109" i="39"/>
  <c r="S6" i="39" s="1"/>
  <c r="F110" i="39"/>
  <c r="G31" i="21"/>
  <c r="G29" i="21" s="1"/>
  <c r="D90" i="33"/>
  <c r="E69" i="36"/>
  <c r="F69" i="36"/>
  <c r="C76" i="35"/>
  <c r="E82" i="35"/>
  <c r="E90" i="33"/>
  <c r="F65" i="33"/>
  <c r="G65" i="33" s="1"/>
  <c r="B66" i="33"/>
  <c r="C103" i="40" l="1"/>
  <c r="B105" i="40"/>
  <c r="J104" i="40"/>
  <c r="G104" i="40" s="1"/>
  <c r="N50" i="18"/>
  <c r="M51" i="18"/>
  <c r="G79" i="35"/>
  <c r="F80" i="35"/>
  <c r="E111" i="39"/>
  <c r="F111" i="39"/>
  <c r="B101" i="39"/>
  <c r="C99" i="39"/>
  <c r="J100" i="39"/>
  <c r="G100" i="39" s="1"/>
  <c r="I100" i="39" s="1"/>
  <c r="E70" i="36"/>
  <c r="F70" i="36"/>
  <c r="I70" i="36" s="1"/>
  <c r="O4" i="36" s="1"/>
  <c r="J41" i="18" s="1"/>
  <c r="I78" i="35"/>
  <c r="C77" i="35"/>
  <c r="I77" i="35"/>
  <c r="E83" i="35"/>
  <c r="E91" i="33"/>
  <c r="B67" i="33"/>
  <c r="F66" i="33"/>
  <c r="G66" i="33" s="1"/>
  <c r="D91" i="33"/>
  <c r="D92" i="33" s="1"/>
  <c r="I104" i="40" l="1"/>
  <c r="K133" i="40"/>
  <c r="J105" i="40"/>
  <c r="G105" i="40" s="1"/>
  <c r="I105" i="40" s="1"/>
  <c r="C104" i="40"/>
  <c r="B106" i="40"/>
  <c r="G80" i="35"/>
  <c r="F81" i="35"/>
  <c r="H35" i="21"/>
  <c r="H33" i="21" s="1"/>
  <c r="E112" i="39"/>
  <c r="C100" i="39"/>
  <c r="J101" i="39"/>
  <c r="G101" i="39" s="1"/>
  <c r="I101" i="39" s="1"/>
  <c r="B102" i="39"/>
  <c r="F112" i="39"/>
  <c r="F71" i="36"/>
  <c r="E71" i="36"/>
  <c r="E84" i="35"/>
  <c r="C78" i="35"/>
  <c r="F67" i="33"/>
  <c r="G67" i="33" s="1"/>
  <c r="B68" i="33"/>
  <c r="E92" i="33"/>
  <c r="D93" i="33" s="1"/>
  <c r="U6" i="40" l="1"/>
  <c r="P45" i="18" s="1"/>
  <c r="P55" i="18" s="1"/>
  <c r="K137" i="40"/>
  <c r="J106" i="40"/>
  <c r="G106" i="40" s="1"/>
  <c r="I106" i="40" s="1"/>
  <c r="C105" i="40"/>
  <c r="B107" i="40"/>
  <c r="G81" i="35"/>
  <c r="F82" i="35"/>
  <c r="F113" i="39"/>
  <c r="E113" i="39"/>
  <c r="C101" i="39"/>
  <c r="B103" i="39"/>
  <c r="J102" i="39"/>
  <c r="G102" i="39" s="1"/>
  <c r="I102" i="39" s="1"/>
  <c r="K49" i="21"/>
  <c r="E72" i="36"/>
  <c r="F72" i="36"/>
  <c r="I79" i="35"/>
  <c r="E85" i="35"/>
  <c r="I80" i="35"/>
  <c r="C79" i="35"/>
  <c r="B69" i="33"/>
  <c r="F68" i="33"/>
  <c r="G68" i="33" s="1"/>
  <c r="E93" i="33"/>
  <c r="J107" i="40" l="1"/>
  <c r="G107" i="40" s="1"/>
  <c r="I107" i="40" s="1"/>
  <c r="C106" i="40"/>
  <c r="B108" i="40"/>
  <c r="F114" i="39"/>
  <c r="G82" i="35"/>
  <c r="F83" i="35"/>
  <c r="E114" i="39"/>
  <c r="C102" i="39"/>
  <c r="J103" i="39"/>
  <c r="G103" i="39" s="1"/>
  <c r="I103" i="39" s="1"/>
  <c r="B104" i="39"/>
  <c r="F73" i="36"/>
  <c r="E73" i="36"/>
  <c r="C80" i="35"/>
  <c r="E86" i="35"/>
  <c r="K85" i="35"/>
  <c r="S6" i="35" s="1"/>
  <c r="J35" i="18" s="1"/>
  <c r="E94" i="33"/>
  <c r="D94" i="33"/>
  <c r="D95" i="33" s="1"/>
  <c r="F69" i="33"/>
  <c r="G69" i="33" s="1"/>
  <c r="B70" i="33"/>
  <c r="J108" i="40" l="1"/>
  <c r="G108" i="40" s="1"/>
  <c r="I108" i="40" s="1"/>
  <c r="C107" i="40"/>
  <c r="B109" i="40"/>
  <c r="G83" i="35"/>
  <c r="F84" i="35"/>
  <c r="E115" i="39"/>
  <c r="C103" i="39"/>
  <c r="J104" i="39"/>
  <c r="G104" i="39" s="1"/>
  <c r="I104" i="39" s="1"/>
  <c r="B105" i="39"/>
  <c r="F115" i="39"/>
  <c r="H30" i="21"/>
  <c r="E74" i="36"/>
  <c r="F74" i="36"/>
  <c r="I82" i="35"/>
  <c r="C81" i="35"/>
  <c r="I81" i="35"/>
  <c r="E87" i="35"/>
  <c r="B71" i="33"/>
  <c r="F70" i="33"/>
  <c r="G70" i="33" s="1"/>
  <c r="E95" i="33"/>
  <c r="H95" i="33" s="1"/>
  <c r="P4" i="33" s="1"/>
  <c r="I30" i="18" s="1"/>
  <c r="J109" i="40" l="1"/>
  <c r="G109" i="40" s="1"/>
  <c r="C108" i="40"/>
  <c r="B110" i="40"/>
  <c r="G84" i="35"/>
  <c r="F85" i="35"/>
  <c r="G42" i="21"/>
  <c r="F116" i="39"/>
  <c r="E116" i="39"/>
  <c r="C104" i="39"/>
  <c r="J105" i="39"/>
  <c r="G105" i="39" s="1"/>
  <c r="I105" i="39" s="1"/>
  <c r="B106" i="39"/>
  <c r="D96" i="33"/>
  <c r="F75" i="36"/>
  <c r="E75" i="36"/>
  <c r="E88" i="35"/>
  <c r="I83" i="35"/>
  <c r="C82" i="35"/>
  <c r="F71" i="33"/>
  <c r="B72" i="33"/>
  <c r="E96" i="33"/>
  <c r="I109" i="40" l="1"/>
  <c r="L109" i="40"/>
  <c r="S7" i="40" s="1"/>
  <c r="B111" i="40"/>
  <c r="J110" i="40"/>
  <c r="G110" i="40" s="1"/>
  <c r="C109" i="40"/>
  <c r="G85" i="35"/>
  <c r="F86" i="35"/>
  <c r="E117" i="39"/>
  <c r="C105" i="39"/>
  <c r="J106" i="39"/>
  <c r="G106" i="39" s="1"/>
  <c r="I106" i="39" s="1"/>
  <c r="B107" i="39"/>
  <c r="F117" i="39"/>
  <c r="F118" i="39" s="1"/>
  <c r="E76" i="36"/>
  <c r="F76" i="36"/>
  <c r="I84" i="35"/>
  <c r="C83" i="35"/>
  <c r="E89" i="35"/>
  <c r="G71" i="33"/>
  <c r="I71" i="33"/>
  <c r="N5" i="33" s="1"/>
  <c r="E97" i="33"/>
  <c r="B73" i="33"/>
  <c r="F72" i="33"/>
  <c r="D97" i="33"/>
  <c r="S9" i="40" l="1"/>
  <c r="N46" i="18"/>
  <c r="N56" i="18" s="1"/>
  <c r="I110" i="40"/>
  <c r="C110" i="40"/>
  <c r="B112" i="40"/>
  <c r="J111" i="40"/>
  <c r="G111" i="40" s="1"/>
  <c r="I111" i="40" s="1"/>
  <c r="D98" i="33"/>
  <c r="G86" i="35"/>
  <c r="F87" i="35"/>
  <c r="E118" i="39"/>
  <c r="C106" i="39"/>
  <c r="J107" i="39"/>
  <c r="G107" i="39" s="1"/>
  <c r="I107" i="39" s="1"/>
  <c r="B108" i="39"/>
  <c r="F77" i="36"/>
  <c r="E77" i="36"/>
  <c r="C84" i="35"/>
  <c r="E90" i="35"/>
  <c r="G72" i="33"/>
  <c r="F73" i="33"/>
  <c r="G73" i="33" s="1"/>
  <c r="B74" i="33"/>
  <c r="D99" i="33"/>
  <c r="E98" i="33"/>
  <c r="B113" i="40" l="1"/>
  <c r="J112" i="40"/>
  <c r="G112" i="40" s="1"/>
  <c r="I112" i="40" s="1"/>
  <c r="C111" i="40"/>
  <c r="G87" i="35"/>
  <c r="F88" i="35"/>
  <c r="C107" i="39"/>
  <c r="J108" i="39"/>
  <c r="G108" i="39" s="1"/>
  <c r="I108" i="39" s="1"/>
  <c r="B109" i="39"/>
  <c r="E119" i="39"/>
  <c r="F119" i="39"/>
  <c r="F78" i="36"/>
  <c r="E78" i="36"/>
  <c r="C85" i="35"/>
  <c r="E91" i="35"/>
  <c r="I85" i="35"/>
  <c r="L85" i="35"/>
  <c r="S7" i="35" s="1"/>
  <c r="S9" i="35" s="1"/>
  <c r="J57" i="21"/>
  <c r="B75" i="33"/>
  <c r="F74" i="33"/>
  <c r="G74" i="33" s="1"/>
  <c r="E99" i="33"/>
  <c r="C112" i="40" l="1"/>
  <c r="B114" i="40"/>
  <c r="J113" i="40"/>
  <c r="G113" i="40" s="1"/>
  <c r="I113" i="40" s="1"/>
  <c r="G88" i="35"/>
  <c r="F89" i="35"/>
  <c r="E120" i="39"/>
  <c r="C108" i="39"/>
  <c r="J109" i="39"/>
  <c r="G109" i="39" s="1"/>
  <c r="B110" i="39"/>
  <c r="F120" i="39"/>
  <c r="F121" i="39" s="1"/>
  <c r="E79" i="36"/>
  <c r="F79" i="36"/>
  <c r="J36" i="18"/>
  <c r="E92" i="35"/>
  <c r="C86" i="35"/>
  <c r="I87" i="35"/>
  <c r="I86" i="35"/>
  <c r="E100" i="33"/>
  <c r="D100" i="33"/>
  <c r="F75" i="33"/>
  <c r="B76" i="33"/>
  <c r="C113" i="40" l="1"/>
  <c r="B115" i="40"/>
  <c r="J114" i="40"/>
  <c r="G114" i="40" s="1"/>
  <c r="G89" i="35"/>
  <c r="F90" i="35"/>
  <c r="I109" i="39"/>
  <c r="L109" i="39"/>
  <c r="C109" i="39"/>
  <c r="B111" i="39"/>
  <c r="J110" i="39"/>
  <c r="G110" i="39" s="1"/>
  <c r="E121" i="39"/>
  <c r="H31" i="21"/>
  <c r="H29" i="21" s="1"/>
  <c r="D101" i="33"/>
  <c r="D102" i="33" s="1"/>
  <c r="E80" i="36"/>
  <c r="F80" i="36"/>
  <c r="C87" i="35"/>
  <c r="E93" i="35"/>
  <c r="G75" i="33"/>
  <c r="B77" i="33"/>
  <c r="F76" i="33"/>
  <c r="G76" i="33" s="1"/>
  <c r="E101" i="33"/>
  <c r="I114" i="40" l="1"/>
  <c r="C114" i="40"/>
  <c r="J115" i="40"/>
  <c r="G115" i="40" s="1"/>
  <c r="I115" i="40" s="1"/>
  <c r="B116" i="40"/>
  <c r="G90" i="35"/>
  <c r="F91" i="35"/>
  <c r="R9" i="39"/>
  <c r="S7" i="39"/>
  <c r="E122" i="39"/>
  <c r="K121" i="39"/>
  <c r="T6" i="39" s="1"/>
  <c r="F122" i="39"/>
  <c r="I110" i="39"/>
  <c r="C110" i="39"/>
  <c r="B112" i="39"/>
  <c r="J111" i="39"/>
  <c r="G111" i="39" s="1"/>
  <c r="I111" i="39" s="1"/>
  <c r="E81" i="36"/>
  <c r="F81" i="36"/>
  <c r="I88" i="35"/>
  <c r="E94" i="35"/>
  <c r="I89" i="35"/>
  <c r="C88" i="35"/>
  <c r="F77" i="33"/>
  <c r="G77" i="33" s="1"/>
  <c r="B78" i="33"/>
  <c r="E102" i="33"/>
  <c r="B117" i="40" l="1"/>
  <c r="C115" i="40"/>
  <c r="J116" i="40"/>
  <c r="G116" i="40" s="1"/>
  <c r="I116" i="40" s="1"/>
  <c r="O50" i="18"/>
  <c r="G91" i="35"/>
  <c r="F92" i="35"/>
  <c r="N51" i="18"/>
  <c r="F123" i="39"/>
  <c r="C111" i="39"/>
  <c r="B113" i="39"/>
  <c r="J112" i="39"/>
  <c r="G112" i="39" s="1"/>
  <c r="I112" i="39" s="1"/>
  <c r="E123" i="39"/>
  <c r="E82" i="36"/>
  <c r="F82" i="36"/>
  <c r="I82" i="36" s="1"/>
  <c r="P4" i="36" s="1"/>
  <c r="K41" i="18" s="1"/>
  <c r="C89" i="35"/>
  <c r="E95" i="35"/>
  <c r="E103" i="33"/>
  <c r="B79" i="33"/>
  <c r="F78" i="33"/>
  <c r="D103" i="33"/>
  <c r="C116" i="40" l="1"/>
  <c r="J117" i="40"/>
  <c r="G117" i="40" s="1"/>
  <c r="I117" i="40" s="1"/>
  <c r="B118" i="40"/>
  <c r="G92" i="35"/>
  <c r="F93" i="35"/>
  <c r="I35" i="21"/>
  <c r="I33" i="21" s="1"/>
  <c r="E124" i="39"/>
  <c r="F124" i="39"/>
  <c r="C112" i="39"/>
  <c r="B114" i="39"/>
  <c r="J113" i="39"/>
  <c r="G113" i="39" s="1"/>
  <c r="I113" i="39" s="1"/>
  <c r="D104" i="33"/>
  <c r="F83" i="36"/>
  <c r="E83" i="36"/>
  <c r="E96" i="35"/>
  <c r="C90" i="35"/>
  <c r="I91" i="35"/>
  <c r="I90" i="35"/>
  <c r="G78" i="33"/>
  <c r="F79" i="33"/>
  <c r="G79" i="33" s="1"/>
  <c r="B80" i="33"/>
  <c r="E104" i="33"/>
  <c r="C117" i="40" l="1"/>
  <c r="B119" i="40"/>
  <c r="J118" i="40"/>
  <c r="G118" i="40" s="1"/>
  <c r="I118" i="40" s="1"/>
  <c r="D105" i="33"/>
  <c r="G93" i="35"/>
  <c r="F94" i="35"/>
  <c r="F125" i="39"/>
  <c r="C113" i="39"/>
  <c r="B115" i="39"/>
  <c r="J114" i="39"/>
  <c r="G114" i="39" s="1"/>
  <c r="E125" i="39"/>
  <c r="E84" i="36"/>
  <c r="F84" i="36"/>
  <c r="C91" i="35"/>
  <c r="E97" i="35"/>
  <c r="B81" i="33"/>
  <c r="F80" i="33"/>
  <c r="G80" i="33" s="1"/>
  <c r="E105" i="33"/>
  <c r="D106" i="33"/>
  <c r="C118" i="40" l="1"/>
  <c r="B120" i="40"/>
  <c r="J119" i="40"/>
  <c r="G119" i="40" s="1"/>
  <c r="I119" i="40" s="1"/>
  <c r="G94" i="35"/>
  <c r="F95" i="35"/>
  <c r="I114" i="39"/>
  <c r="C114" i="39"/>
  <c r="B116" i="39"/>
  <c r="J115" i="39"/>
  <c r="G115" i="39" s="1"/>
  <c r="I115" i="39" s="1"/>
  <c r="E126" i="39"/>
  <c r="F126" i="39"/>
  <c r="L49" i="21"/>
  <c r="F85" i="36"/>
  <c r="E85" i="36"/>
  <c r="I92" i="35"/>
  <c r="I93" i="35"/>
  <c r="C92" i="35"/>
  <c r="E98" i="35"/>
  <c r="K97" i="35"/>
  <c r="T6" i="35" s="1"/>
  <c r="K35" i="18" s="1"/>
  <c r="E106" i="33"/>
  <c r="F81" i="33"/>
  <c r="G81" i="33" s="1"/>
  <c r="B82" i="33"/>
  <c r="B121" i="40" l="1"/>
  <c r="C119" i="40"/>
  <c r="J120" i="40"/>
  <c r="G120" i="40" s="1"/>
  <c r="I120" i="40" s="1"/>
  <c r="G95" i="35"/>
  <c r="F96" i="35"/>
  <c r="C115" i="39"/>
  <c r="B117" i="39"/>
  <c r="J116" i="39"/>
  <c r="G116" i="39" s="1"/>
  <c r="E127" i="39"/>
  <c r="F127" i="39"/>
  <c r="I30" i="21"/>
  <c r="E86" i="36"/>
  <c r="F86" i="36"/>
  <c r="I94" i="35"/>
  <c r="C93" i="35"/>
  <c r="E99" i="35"/>
  <c r="E107" i="33"/>
  <c r="H107" i="33" s="1"/>
  <c r="Q4" i="33" s="1"/>
  <c r="J30" i="18" s="1"/>
  <c r="B83" i="33"/>
  <c r="F82" i="33"/>
  <c r="G82" i="33" s="1"/>
  <c r="D107" i="33"/>
  <c r="B122" i="40" l="1"/>
  <c r="C120" i="40"/>
  <c r="J121" i="40"/>
  <c r="G121" i="40" s="1"/>
  <c r="G96" i="35"/>
  <c r="F97" i="35"/>
  <c r="H42" i="21"/>
  <c r="F128" i="39"/>
  <c r="I116" i="39"/>
  <c r="C116" i="39"/>
  <c r="B118" i="39"/>
  <c r="J117" i="39"/>
  <c r="G117" i="39" s="1"/>
  <c r="I117" i="39" s="1"/>
  <c r="E128" i="39"/>
  <c r="D108" i="33"/>
  <c r="F87" i="36"/>
  <c r="E87" i="36"/>
  <c r="C94" i="35"/>
  <c r="I95" i="35"/>
  <c r="E100" i="35"/>
  <c r="F83" i="33"/>
  <c r="B84" i="33"/>
  <c r="E108" i="33"/>
  <c r="I121" i="40" l="1"/>
  <c r="L121" i="40"/>
  <c r="T7" i="40" s="1"/>
  <c r="C121" i="40"/>
  <c r="B123" i="40"/>
  <c r="J122" i="40"/>
  <c r="G122" i="40" s="1"/>
  <c r="D109" i="33"/>
  <c r="G97" i="35"/>
  <c r="F98" i="35"/>
  <c r="E129" i="39"/>
  <c r="F129" i="39"/>
  <c r="J118" i="39"/>
  <c r="G118" i="39" s="1"/>
  <c r="I118" i="39" s="1"/>
  <c r="C117" i="39"/>
  <c r="B119" i="39"/>
  <c r="F88" i="36"/>
  <c r="E88" i="36"/>
  <c r="C95" i="35"/>
  <c r="I96" i="35"/>
  <c r="E101" i="35"/>
  <c r="G83" i="33"/>
  <c r="I83" i="33"/>
  <c r="O5" i="33" s="1"/>
  <c r="H31" i="18" s="1"/>
  <c r="B85" i="33"/>
  <c r="F84" i="33"/>
  <c r="E109" i="33"/>
  <c r="T9" i="40" l="1"/>
  <c r="O46" i="18"/>
  <c r="O56" i="18" s="1"/>
  <c r="I122" i="40"/>
  <c r="B124" i="40"/>
  <c r="J123" i="40"/>
  <c r="G123" i="40" s="1"/>
  <c r="I123" i="40" s="1"/>
  <c r="C122" i="40"/>
  <c r="F99" i="35"/>
  <c r="G98" i="35"/>
  <c r="F43" i="21"/>
  <c r="F41" i="21" s="1"/>
  <c r="F130" i="39"/>
  <c r="J119" i="39"/>
  <c r="G119" i="39" s="1"/>
  <c r="I119" i="39" s="1"/>
  <c r="C118" i="39"/>
  <c r="B120" i="39"/>
  <c r="E130" i="39"/>
  <c r="F131" i="39" s="1"/>
  <c r="D110" i="33"/>
  <c r="E89" i="36"/>
  <c r="F89" i="36"/>
  <c r="E102" i="35"/>
  <c r="C96" i="35"/>
  <c r="K57" i="21"/>
  <c r="G84" i="33"/>
  <c r="E110" i="33"/>
  <c r="F85" i="33"/>
  <c r="G85" i="33" s="1"/>
  <c r="B86" i="33"/>
  <c r="J124" i="40" l="1"/>
  <c r="G124" i="40" s="1"/>
  <c r="I124" i="40" s="1"/>
  <c r="C123" i="40"/>
  <c r="B125" i="40"/>
  <c r="G99" i="35"/>
  <c r="F100" i="35"/>
  <c r="J120" i="39"/>
  <c r="G120" i="39" s="1"/>
  <c r="I120" i="39" s="1"/>
  <c r="C119" i="39"/>
  <c r="B121" i="39"/>
  <c r="E131" i="39"/>
  <c r="F90" i="36"/>
  <c r="E90" i="36"/>
  <c r="E103" i="35"/>
  <c r="C97" i="35"/>
  <c r="I97" i="35"/>
  <c r="L97" i="35"/>
  <c r="T7" i="35" s="1"/>
  <c r="T9" i="35" s="1"/>
  <c r="E111" i="33"/>
  <c r="B87" i="33"/>
  <c r="F86" i="33"/>
  <c r="D111" i="33"/>
  <c r="B126" i="40" l="1"/>
  <c r="J125" i="40"/>
  <c r="G125" i="40" s="1"/>
  <c r="C124" i="40"/>
  <c r="D112" i="33"/>
  <c r="G100" i="35"/>
  <c r="F101" i="35"/>
  <c r="B122" i="39"/>
  <c r="J121" i="39"/>
  <c r="G121" i="39" s="1"/>
  <c r="C120" i="39"/>
  <c r="E132" i="39"/>
  <c r="F132" i="39"/>
  <c r="F91" i="36"/>
  <c r="E91" i="36"/>
  <c r="K36" i="18"/>
  <c r="E104" i="35"/>
  <c r="I99" i="35"/>
  <c r="C98" i="35"/>
  <c r="I98" i="35"/>
  <c r="G86" i="33"/>
  <c r="F87" i="33"/>
  <c r="G87" i="33" s="1"/>
  <c r="B88" i="33"/>
  <c r="E112" i="33"/>
  <c r="D113" i="33" s="1"/>
  <c r="B127" i="40" l="1"/>
  <c r="J126" i="40"/>
  <c r="G126" i="40" s="1"/>
  <c r="I126" i="40" s="1"/>
  <c r="C125" i="40"/>
  <c r="I125" i="40"/>
  <c r="G101" i="35"/>
  <c r="F102" i="35"/>
  <c r="F133" i="39"/>
  <c r="I121" i="39"/>
  <c r="L121" i="39"/>
  <c r="E133" i="39"/>
  <c r="B123" i="39"/>
  <c r="C121" i="39"/>
  <c r="J122" i="39"/>
  <c r="G122" i="39" s="1"/>
  <c r="I31" i="21"/>
  <c r="I29" i="21" s="1"/>
  <c r="E92" i="36"/>
  <c r="F92" i="36"/>
  <c r="I100" i="35"/>
  <c r="C99" i="35"/>
  <c r="E105" i="35"/>
  <c r="B89" i="33"/>
  <c r="F88" i="33"/>
  <c r="E113" i="33"/>
  <c r="B128" i="40" l="1"/>
  <c r="J127" i="40"/>
  <c r="G127" i="40" s="1"/>
  <c r="C126" i="40"/>
  <c r="G102" i="35"/>
  <c r="F103" i="35"/>
  <c r="S9" i="39"/>
  <c r="T7" i="39"/>
  <c r="I122" i="39"/>
  <c r="C122" i="39"/>
  <c r="B124" i="39"/>
  <c r="J123" i="39"/>
  <c r="G123" i="39" s="1"/>
  <c r="I123" i="39" s="1"/>
  <c r="E134" i="39"/>
  <c r="K133" i="39"/>
  <c r="U6" i="39" s="1"/>
  <c r="F134" i="39"/>
  <c r="E93" i="36"/>
  <c r="F93" i="36"/>
  <c r="C100" i="35"/>
  <c r="E106" i="35"/>
  <c r="G88" i="33"/>
  <c r="E114" i="33"/>
  <c r="D114" i="33"/>
  <c r="D115" i="33" s="1"/>
  <c r="F89" i="33"/>
  <c r="G89" i="33" s="1"/>
  <c r="B90" i="33"/>
  <c r="C127" i="40" l="1"/>
  <c r="B129" i="40"/>
  <c r="J128" i="40"/>
  <c r="G128" i="40" s="1"/>
  <c r="I128" i="40" s="1"/>
  <c r="I127" i="40"/>
  <c r="P50" i="18"/>
  <c r="G103" i="35"/>
  <c r="F104" i="35"/>
  <c r="O51" i="18"/>
  <c r="C123" i="39"/>
  <c r="B125" i="39"/>
  <c r="J124" i="39"/>
  <c r="G124" i="39" s="1"/>
  <c r="I124" i="39" s="1"/>
  <c r="E135" i="39"/>
  <c r="F135" i="39"/>
  <c r="F94" i="36"/>
  <c r="I94" i="36" s="1"/>
  <c r="Q4" i="36" s="1"/>
  <c r="L41" i="18" s="1"/>
  <c r="E94" i="36"/>
  <c r="C101" i="35"/>
  <c r="I102" i="35"/>
  <c r="I101" i="35"/>
  <c r="E107" i="35"/>
  <c r="B91" i="33"/>
  <c r="F90" i="33"/>
  <c r="E115" i="33"/>
  <c r="D116" i="33" s="1"/>
  <c r="B130" i="40" l="1"/>
  <c r="J129" i="40"/>
  <c r="G129" i="40" s="1"/>
  <c r="C128" i="40"/>
  <c r="G104" i="35"/>
  <c r="F105" i="35"/>
  <c r="J35" i="21"/>
  <c r="J33" i="21" s="1"/>
  <c r="F136" i="39"/>
  <c r="C124" i="39"/>
  <c r="B126" i="39"/>
  <c r="J125" i="39"/>
  <c r="G125" i="39" s="1"/>
  <c r="I125" i="39" s="1"/>
  <c r="E136" i="39"/>
  <c r="F95" i="36"/>
  <c r="E95" i="36"/>
  <c r="I103" i="35"/>
  <c r="C102" i="35"/>
  <c r="E108" i="35"/>
  <c r="G90" i="33"/>
  <c r="F91" i="33"/>
  <c r="G91" i="33" s="1"/>
  <c r="B92" i="33"/>
  <c r="E116" i="33"/>
  <c r="I129" i="40" l="1"/>
  <c r="C129" i="40"/>
  <c r="B131" i="40"/>
  <c r="J130" i="40"/>
  <c r="G130" i="40" s="1"/>
  <c r="I130" i="40" s="1"/>
  <c r="G105" i="35"/>
  <c r="F106" i="35"/>
  <c r="C125" i="39"/>
  <c r="B127" i="39"/>
  <c r="J126" i="39"/>
  <c r="G126" i="39" s="1"/>
  <c r="I126" i="39" s="1"/>
  <c r="E137" i="39"/>
  <c r="F137" i="39"/>
  <c r="O49" i="21"/>
  <c r="E96" i="36"/>
  <c r="F96" i="36"/>
  <c r="C103" i="35"/>
  <c r="E109" i="35"/>
  <c r="E117" i="33"/>
  <c r="B93" i="33"/>
  <c r="F92" i="33"/>
  <c r="D117" i="33"/>
  <c r="B132" i="40" l="1"/>
  <c r="J131" i="40"/>
  <c r="G131" i="40" s="1"/>
  <c r="I131" i="40" s="1"/>
  <c r="C130" i="40"/>
  <c r="G106" i="35"/>
  <c r="F107" i="35"/>
  <c r="F138" i="39"/>
  <c r="C126" i="39"/>
  <c r="B128" i="39"/>
  <c r="J127" i="39"/>
  <c r="G127" i="39" s="1"/>
  <c r="I127" i="39" s="1"/>
  <c r="E138" i="39"/>
  <c r="D118" i="33"/>
  <c r="D119" i="33" s="1"/>
  <c r="E97" i="36"/>
  <c r="F97" i="36"/>
  <c r="E110" i="35"/>
  <c r="K109" i="35"/>
  <c r="U6" i="35" s="1"/>
  <c r="L35" i="18" s="1"/>
  <c r="C104" i="35"/>
  <c r="I105" i="35"/>
  <c r="I104" i="35"/>
  <c r="G92" i="33"/>
  <c r="F93" i="33"/>
  <c r="G93" i="33" s="1"/>
  <c r="B94" i="33"/>
  <c r="E118" i="33"/>
  <c r="C131" i="40" l="1"/>
  <c r="B133" i="40"/>
  <c r="J132" i="40"/>
  <c r="G132" i="40" s="1"/>
  <c r="I132" i="40" s="1"/>
  <c r="G107" i="35"/>
  <c r="F108" i="35"/>
  <c r="C127" i="39"/>
  <c r="B129" i="39"/>
  <c r="J128" i="39"/>
  <c r="G128" i="39" s="1"/>
  <c r="I128" i="39" s="1"/>
  <c r="E139" i="39"/>
  <c r="F139" i="39"/>
  <c r="J30" i="21"/>
  <c r="F98" i="36"/>
  <c r="E98" i="36"/>
  <c r="C105" i="35"/>
  <c r="I106" i="35"/>
  <c r="E111" i="35"/>
  <c r="B95" i="33"/>
  <c r="F94" i="33"/>
  <c r="G94" i="33" s="1"/>
  <c r="E119" i="33"/>
  <c r="H119" i="33" s="1"/>
  <c r="R4" i="33" s="1"/>
  <c r="K30" i="18" s="1"/>
  <c r="C132" i="40" l="1"/>
  <c r="J133" i="40"/>
  <c r="G133" i="40" s="1"/>
  <c r="G134" i="40" s="1"/>
  <c r="I42" i="21"/>
  <c r="G108" i="35"/>
  <c r="F109" i="35"/>
  <c r="F140" i="39"/>
  <c r="E140" i="39"/>
  <c r="C128" i="39"/>
  <c r="B130" i="39"/>
  <c r="J129" i="39"/>
  <c r="G129" i="39" s="1"/>
  <c r="I129" i="39" s="1"/>
  <c r="E99" i="36"/>
  <c r="F99" i="36"/>
  <c r="E112" i="35"/>
  <c r="I107" i="35"/>
  <c r="C106" i="35"/>
  <c r="E120" i="33"/>
  <c r="D120" i="33"/>
  <c r="F95" i="33"/>
  <c r="B96" i="33"/>
  <c r="C133" i="40" l="1"/>
  <c r="I133" i="40"/>
  <c r="L133" i="40"/>
  <c r="G109" i="35"/>
  <c r="F110" i="35"/>
  <c r="D121" i="33"/>
  <c r="C129" i="39"/>
  <c r="B131" i="39"/>
  <c r="J130" i="39"/>
  <c r="G130" i="39" s="1"/>
  <c r="I130" i="39" s="1"/>
  <c r="E141" i="39"/>
  <c r="F141" i="39"/>
  <c r="F100" i="36"/>
  <c r="E100" i="36"/>
  <c r="I108" i="35"/>
  <c r="C107" i="35"/>
  <c r="E113" i="35"/>
  <c r="G95" i="33"/>
  <c r="I95" i="33"/>
  <c r="P5" i="33" s="1"/>
  <c r="I31" i="18" s="1"/>
  <c r="B97" i="33"/>
  <c r="F96" i="33"/>
  <c r="E121" i="33"/>
  <c r="U7" i="40" l="1"/>
  <c r="L137" i="40"/>
  <c r="F111" i="35"/>
  <c r="G110" i="35"/>
  <c r="G43" i="21"/>
  <c r="G41" i="21" s="1"/>
  <c r="F142" i="39"/>
  <c r="E142" i="39"/>
  <c r="C130" i="39"/>
  <c r="B132" i="39"/>
  <c r="J131" i="39"/>
  <c r="G131" i="39" s="1"/>
  <c r="I131" i="39" s="1"/>
  <c r="F101" i="36"/>
  <c r="E101" i="36"/>
  <c r="E114" i="35"/>
  <c r="C108" i="35"/>
  <c r="L57" i="21"/>
  <c r="G96" i="33"/>
  <c r="F97" i="33"/>
  <c r="G97" i="33" s="1"/>
  <c r="B98" i="33"/>
  <c r="E122" i="33"/>
  <c r="D122" i="33"/>
  <c r="U9" i="40" l="1"/>
  <c r="P46" i="18"/>
  <c r="P56" i="18" s="1"/>
  <c r="G111" i="35"/>
  <c r="F112" i="35"/>
  <c r="C131" i="39"/>
  <c r="B133" i="39"/>
  <c r="J132" i="39"/>
  <c r="G132" i="39" s="1"/>
  <c r="I132" i="39" s="1"/>
  <c r="E143" i="39"/>
  <c r="F143" i="39"/>
  <c r="E102" i="36"/>
  <c r="F102" i="36"/>
  <c r="I109" i="35"/>
  <c r="L109" i="35"/>
  <c r="U7" i="35" s="1"/>
  <c r="U9" i="35" s="1"/>
  <c r="E115" i="35"/>
  <c r="C109" i="35"/>
  <c r="B99" i="33"/>
  <c r="F98" i="33"/>
  <c r="G98" i="33" s="1"/>
  <c r="E123" i="33"/>
  <c r="D123" i="33"/>
  <c r="G112" i="35" l="1"/>
  <c r="F113" i="35"/>
  <c r="E144" i="39"/>
  <c r="E145" i="39" s="1"/>
  <c r="F144" i="39"/>
  <c r="C132" i="39"/>
  <c r="B134" i="39"/>
  <c r="J133" i="39"/>
  <c r="G133" i="39" s="1"/>
  <c r="F103" i="36"/>
  <c r="E103" i="36"/>
  <c r="L36" i="18"/>
  <c r="C110" i="35"/>
  <c r="I111" i="35"/>
  <c r="E116" i="35"/>
  <c r="I110" i="35"/>
  <c r="E124" i="33"/>
  <c r="D124" i="33"/>
  <c r="F99" i="33"/>
  <c r="B100" i="33"/>
  <c r="G113" i="35" l="1"/>
  <c r="F114" i="35"/>
  <c r="D125" i="33"/>
  <c r="E146" i="39"/>
  <c r="K145" i="39"/>
  <c r="V6" i="39" s="1"/>
  <c r="F145" i="39"/>
  <c r="F146" i="39" s="1"/>
  <c r="F147" i="39" s="1"/>
  <c r="I133" i="39"/>
  <c r="L133" i="39"/>
  <c r="C133" i="39"/>
  <c r="J134" i="39"/>
  <c r="G134" i="39" s="1"/>
  <c r="B135" i="39"/>
  <c r="J31" i="21"/>
  <c r="J29" i="21" s="1"/>
  <c r="E104" i="36"/>
  <c r="F104" i="36"/>
  <c r="C111" i="35"/>
  <c r="E117" i="35"/>
  <c r="G99" i="33"/>
  <c r="D126" i="33"/>
  <c r="B101" i="33"/>
  <c r="F100" i="33"/>
  <c r="G100" i="33" s="1"/>
  <c r="E125" i="33"/>
  <c r="G114" i="35" l="1"/>
  <c r="F115" i="35"/>
  <c r="Q50" i="18"/>
  <c r="T9" i="39"/>
  <c r="U7" i="39"/>
  <c r="E147" i="39"/>
  <c r="E148" i="39" s="1"/>
  <c r="E149" i="39" s="1"/>
  <c r="E150" i="39" s="1"/>
  <c r="E151" i="39" s="1"/>
  <c r="E152" i="39" s="1"/>
  <c r="E153" i="39" s="1"/>
  <c r="E154" i="39" s="1"/>
  <c r="E155" i="39" s="1"/>
  <c r="E156" i="39" s="1"/>
  <c r="E157" i="39" s="1"/>
  <c r="E158" i="39" s="1"/>
  <c r="I134" i="39"/>
  <c r="J135" i="39"/>
  <c r="G135" i="39" s="1"/>
  <c r="I135" i="39" s="1"/>
  <c r="C134" i="39"/>
  <c r="B136" i="39"/>
  <c r="F105" i="36"/>
  <c r="E105" i="36"/>
  <c r="I112" i="35"/>
  <c r="I113" i="35"/>
  <c r="C112" i="35"/>
  <c r="E118" i="35"/>
  <c r="F101" i="33"/>
  <c r="G101" i="33" s="1"/>
  <c r="B102" i="33"/>
  <c r="E126" i="33"/>
  <c r="P51" i="18" l="1"/>
  <c r="G115" i="35"/>
  <c r="F116" i="35"/>
  <c r="K157" i="39"/>
  <c r="W6" i="39" s="1"/>
  <c r="E159" i="39"/>
  <c r="E160" i="39" s="1"/>
  <c r="E161" i="39" s="1"/>
  <c r="E162" i="39" s="1"/>
  <c r="E163" i="39" s="1"/>
  <c r="E164" i="39" s="1"/>
  <c r="E165" i="39" s="1"/>
  <c r="E166" i="39" s="1"/>
  <c r="E167" i="39" s="1"/>
  <c r="E168" i="39" s="1"/>
  <c r="E169" i="39" s="1"/>
  <c r="E170" i="39" s="1"/>
  <c r="F148" i="39"/>
  <c r="F149" i="39" s="1"/>
  <c r="F150" i="39" s="1"/>
  <c r="F151" i="39" s="1"/>
  <c r="F152" i="39" s="1"/>
  <c r="F153" i="39" s="1"/>
  <c r="F154" i="39" s="1"/>
  <c r="F155" i="39" s="1"/>
  <c r="F156" i="39" s="1"/>
  <c r="F157" i="39" s="1"/>
  <c r="F158" i="39" s="1"/>
  <c r="F159" i="39" s="1"/>
  <c r="F160" i="39" s="1"/>
  <c r="F161" i="39" s="1"/>
  <c r="F162" i="39" s="1"/>
  <c r="F163" i="39" s="1"/>
  <c r="F164" i="39" s="1"/>
  <c r="F165" i="39" s="1"/>
  <c r="F166" i="39" s="1"/>
  <c r="F167" i="39" s="1"/>
  <c r="F168" i="39" s="1"/>
  <c r="F169" i="39" s="1"/>
  <c r="F170" i="39" s="1"/>
  <c r="F171" i="39" s="1"/>
  <c r="J136" i="39"/>
  <c r="G136" i="39" s="1"/>
  <c r="I136" i="39" s="1"/>
  <c r="C135" i="39"/>
  <c r="B137" i="39"/>
  <c r="E106" i="36"/>
  <c r="F106" i="36"/>
  <c r="I106" i="36" s="1"/>
  <c r="R4" i="36" s="1"/>
  <c r="M41" i="18" s="1"/>
  <c r="I114" i="35"/>
  <c r="C113" i="35"/>
  <c r="E119" i="35"/>
  <c r="B103" i="33"/>
  <c r="F102" i="33"/>
  <c r="E127" i="33"/>
  <c r="D127" i="33"/>
  <c r="G116" i="35" l="1"/>
  <c r="F117" i="35"/>
  <c r="R50" i="18"/>
  <c r="K169" i="39"/>
  <c r="X6" i="39" s="1"/>
  <c r="E171" i="39"/>
  <c r="E172" i="39" s="1"/>
  <c r="E173" i="39" s="1"/>
  <c r="E174" i="39" s="1"/>
  <c r="K35" i="21"/>
  <c r="K33" i="21" s="1"/>
  <c r="J137" i="39"/>
  <c r="G137" i="39" s="1"/>
  <c r="C136" i="39"/>
  <c r="B138" i="39"/>
  <c r="F107" i="36"/>
  <c r="E107" i="36"/>
  <c r="C114" i="35"/>
  <c r="I115" i="35"/>
  <c r="E120" i="35"/>
  <c r="G102" i="33"/>
  <c r="E128" i="33"/>
  <c r="D128" i="33"/>
  <c r="D129" i="33" s="1"/>
  <c r="F103" i="33"/>
  <c r="G103" i="33" s="1"/>
  <c r="B104" i="33"/>
  <c r="E39" i="28" l="1"/>
  <c r="R25" i="28"/>
  <c r="S38" i="7"/>
  <c r="R38" i="7"/>
  <c r="K173" i="39"/>
  <c r="S50" i="18"/>
  <c r="G117" i="35"/>
  <c r="F118" i="35"/>
  <c r="Y6" i="39"/>
  <c r="K177" i="39"/>
  <c r="F172" i="39"/>
  <c r="F173" i="39" s="1"/>
  <c r="J138" i="39"/>
  <c r="G138" i="39" s="1"/>
  <c r="I138" i="39" s="1"/>
  <c r="C137" i="39"/>
  <c r="B139" i="39"/>
  <c r="I137" i="39"/>
  <c r="E108" i="36"/>
  <c r="F108" i="36"/>
  <c r="C115" i="35"/>
  <c r="I116" i="35"/>
  <c r="E121" i="35"/>
  <c r="D130" i="33"/>
  <c r="B105" i="33"/>
  <c r="F104" i="33"/>
  <c r="G104" i="33" s="1"/>
  <c r="E129" i="33"/>
  <c r="T38" i="7" l="1"/>
  <c r="F39" i="28"/>
  <c r="S25" i="28"/>
  <c r="G118" i="35"/>
  <c r="F119" i="35"/>
  <c r="T50" i="18"/>
  <c r="AA6" i="39"/>
  <c r="J139" i="39"/>
  <c r="G139" i="39" s="1"/>
  <c r="C138" i="39"/>
  <c r="B140" i="39"/>
  <c r="F109" i="36"/>
  <c r="E109" i="36"/>
  <c r="E122" i="35"/>
  <c r="K121" i="35"/>
  <c r="V6" i="35" s="1"/>
  <c r="M35" i="18" s="1"/>
  <c r="I117" i="35"/>
  <c r="C116" i="35"/>
  <c r="F105" i="33"/>
  <c r="G105" i="33" s="1"/>
  <c r="B106" i="33"/>
  <c r="E130" i="33"/>
  <c r="I134" i="40" l="1"/>
  <c r="G119" i="35"/>
  <c r="F120" i="35"/>
  <c r="G39" i="28"/>
  <c r="J140" i="39"/>
  <c r="G140" i="39" s="1"/>
  <c r="I140" i="39" s="1"/>
  <c r="C139" i="39"/>
  <c r="B141" i="39"/>
  <c r="I139" i="39"/>
  <c r="K30" i="21"/>
  <c r="F110" i="36"/>
  <c r="E110" i="36"/>
  <c r="E123" i="35"/>
  <c r="I118" i="35"/>
  <c r="C117" i="35"/>
  <c r="F106" i="33"/>
  <c r="G106" i="33" s="1"/>
  <c r="B107" i="33"/>
  <c r="E131" i="33"/>
  <c r="H131" i="33" s="1"/>
  <c r="S4" i="33" s="1"/>
  <c r="L30" i="18" s="1"/>
  <c r="D131" i="33"/>
  <c r="G120" i="35" l="1"/>
  <c r="F121" i="35"/>
  <c r="J42" i="21"/>
  <c r="J141" i="39"/>
  <c r="G141" i="39" s="1"/>
  <c r="C140" i="39"/>
  <c r="B142" i="39"/>
  <c r="E111" i="36"/>
  <c r="F111" i="36"/>
  <c r="E124" i="35"/>
  <c r="I119" i="35"/>
  <c r="C118" i="35"/>
  <c r="F107" i="33"/>
  <c r="B108" i="33"/>
  <c r="D132" i="33"/>
  <c r="E132" i="33"/>
  <c r="AA6" i="40" l="1"/>
  <c r="G121" i="35"/>
  <c r="F122" i="35"/>
  <c r="D133" i="33"/>
  <c r="J142" i="39"/>
  <c r="G142" i="39" s="1"/>
  <c r="I142" i="39" s="1"/>
  <c r="C141" i="39"/>
  <c r="B143" i="39"/>
  <c r="I141" i="39"/>
  <c r="F112" i="36"/>
  <c r="E112" i="36"/>
  <c r="C119" i="35"/>
  <c r="I120" i="35"/>
  <c r="E125" i="35"/>
  <c r="G107" i="33"/>
  <c r="I107" i="33"/>
  <c r="Q5" i="33" s="1"/>
  <c r="J31" i="18" s="1"/>
  <c r="E133" i="33"/>
  <c r="F108" i="33"/>
  <c r="B109" i="33"/>
  <c r="G122" i="35" l="1"/>
  <c r="F123" i="35"/>
  <c r="H43" i="21"/>
  <c r="H41" i="21" s="1"/>
  <c r="J143" i="39"/>
  <c r="G143" i="39" s="1"/>
  <c r="I143" i="39" s="1"/>
  <c r="C142" i="39"/>
  <c r="B144" i="39"/>
  <c r="B145" i="39" s="1"/>
  <c r="F113" i="36"/>
  <c r="E113" i="36"/>
  <c r="C120" i="35"/>
  <c r="E126" i="35"/>
  <c r="O57" i="21"/>
  <c r="G108" i="33"/>
  <c r="F109" i="33"/>
  <c r="G109" i="33" s="1"/>
  <c r="B110" i="33"/>
  <c r="E134" i="33"/>
  <c r="D134" i="33"/>
  <c r="G123" i="35" l="1"/>
  <c r="F124" i="35"/>
  <c r="J145" i="39"/>
  <c r="G145" i="39" s="1"/>
  <c r="B146" i="39"/>
  <c r="J144" i="39"/>
  <c r="G144" i="39" s="1"/>
  <c r="C143" i="39"/>
  <c r="E114" i="36"/>
  <c r="F114" i="36"/>
  <c r="E127" i="35"/>
  <c r="L121" i="35"/>
  <c r="V7" i="35" s="1"/>
  <c r="V9" i="35" s="1"/>
  <c r="I121" i="35"/>
  <c r="C121" i="35"/>
  <c r="F110" i="33"/>
  <c r="G110" i="33" s="1"/>
  <c r="B111" i="33"/>
  <c r="D135" i="33"/>
  <c r="E135" i="33"/>
  <c r="G124" i="35" l="1"/>
  <c r="F125" i="35"/>
  <c r="I145" i="39"/>
  <c r="L145" i="39"/>
  <c r="V7" i="39" s="1"/>
  <c r="J146" i="39"/>
  <c r="G146" i="39" s="1"/>
  <c r="B147" i="39"/>
  <c r="I144" i="39"/>
  <c r="I174" i="39" s="1"/>
  <c r="D136" i="33"/>
  <c r="F115" i="36"/>
  <c r="E115" i="36"/>
  <c r="M36" i="18"/>
  <c r="I122" i="35"/>
  <c r="I123" i="35"/>
  <c r="C122" i="35"/>
  <c r="E128" i="35"/>
  <c r="F111" i="33"/>
  <c r="B112" i="33"/>
  <c r="E136" i="33"/>
  <c r="Q51" i="18" l="1"/>
  <c r="G125" i="35"/>
  <c r="F126" i="35"/>
  <c r="I146" i="39"/>
  <c r="V9" i="39"/>
  <c r="J147" i="39"/>
  <c r="G147" i="39" s="1"/>
  <c r="I147" i="39" s="1"/>
  <c r="B148" i="39"/>
  <c r="K31" i="21"/>
  <c r="K29" i="21" s="1"/>
  <c r="D137" i="33"/>
  <c r="E116" i="36"/>
  <c r="F116" i="36"/>
  <c r="E129" i="35"/>
  <c r="I124" i="35"/>
  <c r="C123" i="35"/>
  <c r="G111" i="33"/>
  <c r="F112" i="33"/>
  <c r="G112" i="33" s="1"/>
  <c r="B113" i="33"/>
  <c r="E137" i="33"/>
  <c r="G126" i="35" l="1"/>
  <c r="F127" i="35"/>
  <c r="J148" i="39"/>
  <c r="G148" i="39" s="1"/>
  <c r="I148" i="39" s="1"/>
  <c r="B149" i="39"/>
  <c r="U9" i="39"/>
  <c r="E117" i="36"/>
  <c r="F117" i="36"/>
  <c r="C124" i="35"/>
  <c r="E130" i="35"/>
  <c r="F113" i="33"/>
  <c r="B114" i="33"/>
  <c r="E138" i="33"/>
  <c r="D138" i="33"/>
  <c r="D139" i="33" s="1"/>
  <c r="F128" i="35" l="1"/>
  <c r="G127" i="35"/>
  <c r="J149" i="39"/>
  <c r="G149" i="39" s="1"/>
  <c r="I149" i="39" s="1"/>
  <c r="B150" i="39"/>
  <c r="F118" i="36"/>
  <c r="E118" i="36"/>
  <c r="I125" i="35"/>
  <c r="C125" i="35"/>
  <c r="I126" i="35"/>
  <c r="E131" i="35"/>
  <c r="G113" i="33"/>
  <c r="E139" i="33"/>
  <c r="B115" i="33"/>
  <c r="F114" i="33"/>
  <c r="G114" i="33" s="1"/>
  <c r="D140" i="33" l="1"/>
  <c r="E140" i="33"/>
  <c r="G128" i="35"/>
  <c r="F129" i="35"/>
  <c r="J150" i="39"/>
  <c r="G150" i="39" s="1"/>
  <c r="B151" i="39"/>
  <c r="F119" i="36"/>
  <c r="E119" i="36"/>
  <c r="I118" i="36"/>
  <c r="S4" i="36" s="1"/>
  <c r="E132" i="35"/>
  <c r="C126" i="35"/>
  <c r="I127" i="35"/>
  <c r="F115" i="33"/>
  <c r="G115" i="33" s="1"/>
  <c r="B116" i="33"/>
  <c r="D141" i="33"/>
  <c r="F130" i="35" l="1"/>
  <c r="G129" i="35"/>
  <c r="I150" i="39"/>
  <c r="B152" i="39"/>
  <c r="J151" i="39"/>
  <c r="G151" i="39" s="1"/>
  <c r="I151" i="39" s="1"/>
  <c r="N41" i="18"/>
  <c r="L35" i="21" s="1"/>
  <c r="L33" i="21" s="1"/>
  <c r="F120" i="36"/>
  <c r="E120" i="36"/>
  <c r="E133" i="35"/>
  <c r="I128" i="35"/>
  <c r="C127" i="35"/>
  <c r="E141" i="33"/>
  <c r="B117" i="33"/>
  <c r="F116" i="33"/>
  <c r="G116" i="33" s="1"/>
  <c r="G130" i="35" l="1"/>
  <c r="F131" i="35"/>
  <c r="B153" i="39"/>
  <c r="J152" i="39"/>
  <c r="G152" i="39" s="1"/>
  <c r="I152" i="39" s="1"/>
  <c r="E121" i="36"/>
  <c r="F121" i="36"/>
  <c r="I129" i="35"/>
  <c r="C128" i="35"/>
  <c r="E134" i="35"/>
  <c r="K133" i="35"/>
  <c r="W6" i="35" s="1"/>
  <c r="N35" i="18" s="1"/>
  <c r="F117" i="33"/>
  <c r="G117" i="33" s="1"/>
  <c r="B118" i="33"/>
  <c r="E142" i="33"/>
  <c r="D142" i="33"/>
  <c r="D143" i="33" s="1"/>
  <c r="G131" i="35" l="1"/>
  <c r="F132" i="35"/>
  <c r="B154" i="39"/>
  <c r="J153" i="39"/>
  <c r="G153" i="39" s="1"/>
  <c r="I153" i="39" s="1"/>
  <c r="L30" i="21"/>
  <c r="F122" i="36"/>
  <c r="E122" i="36"/>
  <c r="E135" i="35"/>
  <c r="C129" i="35"/>
  <c r="I130" i="35"/>
  <c r="E143" i="33"/>
  <c r="H143" i="33" s="1"/>
  <c r="T4" i="33" s="1"/>
  <c r="M30" i="18" s="1"/>
  <c r="K42" i="21" s="1"/>
  <c r="B119" i="33"/>
  <c r="F118" i="33"/>
  <c r="G118" i="33" s="1"/>
  <c r="G132" i="35" l="1"/>
  <c r="F133" i="35"/>
  <c r="B155" i="39"/>
  <c r="J154" i="39"/>
  <c r="G154" i="39" s="1"/>
  <c r="I154" i="39" s="1"/>
  <c r="D144" i="33"/>
  <c r="F123" i="36"/>
  <c r="E123" i="36"/>
  <c r="E136" i="35"/>
  <c r="I131" i="35"/>
  <c r="C130" i="35"/>
  <c r="F119" i="33"/>
  <c r="B120" i="33"/>
  <c r="E144" i="33"/>
  <c r="G133" i="35" l="1"/>
  <c r="F134" i="35"/>
  <c r="J155" i="39"/>
  <c r="G155" i="39" s="1"/>
  <c r="I155" i="39" s="1"/>
  <c r="B156" i="39"/>
  <c r="E124" i="36"/>
  <c r="F124" i="36"/>
  <c r="I132" i="35"/>
  <c r="C131" i="35"/>
  <c r="E137" i="35"/>
  <c r="G119" i="33"/>
  <c r="I119" i="33"/>
  <c r="R5" i="33" s="1"/>
  <c r="K31" i="18" s="1"/>
  <c r="E145" i="33"/>
  <c r="D145" i="33"/>
  <c r="B121" i="33"/>
  <c r="F120" i="33"/>
  <c r="D146" i="33" l="1"/>
  <c r="G134" i="35"/>
  <c r="F135" i="35"/>
  <c r="I43" i="21"/>
  <c r="I41" i="21" s="1"/>
  <c r="B157" i="39"/>
  <c r="J156" i="39"/>
  <c r="G156" i="39" s="1"/>
  <c r="I156" i="39" s="1"/>
  <c r="F126" i="36"/>
  <c r="I124" i="36"/>
  <c r="C132" i="35"/>
  <c r="E138" i="35"/>
  <c r="P57" i="21"/>
  <c r="G120" i="33"/>
  <c r="F121" i="33"/>
  <c r="G121" i="33" s="1"/>
  <c r="B122" i="33"/>
  <c r="E146" i="33"/>
  <c r="G135" i="35" l="1"/>
  <c r="F136" i="35"/>
  <c r="B158" i="39"/>
  <c r="J157" i="39"/>
  <c r="G157" i="39" s="1"/>
  <c r="I126" i="36"/>
  <c r="T4" i="36"/>
  <c r="L133" i="35"/>
  <c r="W7" i="35" s="1"/>
  <c r="W9" i="35" s="1"/>
  <c r="I133" i="35"/>
  <c r="E139" i="35"/>
  <c r="C133" i="35"/>
  <c r="B123" i="33"/>
  <c r="F122" i="33"/>
  <c r="E147" i="33"/>
  <c r="D147" i="33"/>
  <c r="F137" i="35" l="1"/>
  <c r="G136" i="35"/>
  <c r="I157" i="39"/>
  <c r="L157" i="39"/>
  <c r="W7" i="39" s="1"/>
  <c r="B159" i="39"/>
  <c r="J158" i="39"/>
  <c r="G158" i="39" s="1"/>
  <c r="D148" i="33"/>
  <c r="D149" i="33" s="1"/>
  <c r="O41" i="18"/>
  <c r="X4" i="36"/>
  <c r="N36" i="18"/>
  <c r="E140" i="35"/>
  <c r="I134" i="35"/>
  <c r="I135" i="35"/>
  <c r="C134" i="35"/>
  <c r="G122" i="33"/>
  <c r="E148" i="33"/>
  <c r="F123" i="33"/>
  <c r="G123" i="33" s="1"/>
  <c r="B124" i="33"/>
  <c r="R51" i="18" l="1"/>
  <c r="G137" i="35"/>
  <c r="F138" i="35"/>
  <c r="I158" i="39"/>
  <c r="W9" i="39"/>
  <c r="O35" i="21"/>
  <c r="O33" i="21" s="1"/>
  <c r="AB33" i="21" s="1"/>
  <c r="B160" i="39"/>
  <c r="J159" i="39"/>
  <c r="G159" i="39" s="1"/>
  <c r="I159" i="39" s="1"/>
  <c r="L31" i="21"/>
  <c r="L29" i="21" s="1"/>
  <c r="C135" i="35"/>
  <c r="I136" i="35"/>
  <c r="E141" i="35"/>
  <c r="B125" i="33"/>
  <c r="F124" i="33"/>
  <c r="G124" i="33" s="1"/>
  <c r="E149" i="33"/>
  <c r="G138" i="35" l="1"/>
  <c r="F139" i="35"/>
  <c r="E40" i="28"/>
  <c r="E38" i="28" s="1"/>
  <c r="R39" i="7"/>
  <c r="R26" i="28"/>
  <c r="S39" i="7"/>
  <c r="R60" i="18"/>
  <c r="R54" i="18"/>
  <c r="J160" i="39"/>
  <c r="G160" i="39" s="1"/>
  <c r="I160" i="39" s="1"/>
  <c r="B161" i="39"/>
  <c r="C136" i="35"/>
  <c r="E142" i="35"/>
  <c r="E150" i="33"/>
  <c r="F125" i="33"/>
  <c r="B126" i="33"/>
  <c r="D150" i="33"/>
  <c r="G139" i="35" l="1"/>
  <c r="F140" i="35"/>
  <c r="B162" i="39"/>
  <c r="J161" i="39"/>
  <c r="G161" i="39" s="1"/>
  <c r="I161" i="39" s="1"/>
  <c r="D151" i="33"/>
  <c r="I137" i="35"/>
  <c r="E143" i="35"/>
  <c r="I138" i="35"/>
  <c r="C137" i="35"/>
  <c r="G125" i="33"/>
  <c r="B127" i="33"/>
  <c r="F126" i="33"/>
  <c r="G126" i="33" s="1"/>
  <c r="E151" i="33"/>
  <c r="G140" i="35" l="1"/>
  <c r="F141" i="35"/>
  <c r="B163" i="39"/>
  <c r="J162" i="39"/>
  <c r="G162" i="39" s="1"/>
  <c r="I162" i="39" s="1"/>
  <c r="I139" i="35"/>
  <c r="C138" i="35"/>
  <c r="E144" i="35"/>
  <c r="E152" i="33"/>
  <c r="D152" i="33"/>
  <c r="F127" i="33"/>
  <c r="G127" i="33" s="1"/>
  <c r="B128" i="33"/>
  <c r="G141" i="35" l="1"/>
  <c r="F142" i="35"/>
  <c r="B164" i="39"/>
  <c r="J163" i="39"/>
  <c r="G163" i="39" s="1"/>
  <c r="I163" i="39" s="1"/>
  <c r="D153" i="33"/>
  <c r="C139" i="35"/>
  <c r="I140" i="35"/>
  <c r="E145" i="35"/>
  <c r="B129" i="33"/>
  <c r="F128" i="33"/>
  <c r="G128" i="33" s="1"/>
  <c r="E153" i="33"/>
  <c r="G142" i="35" l="1"/>
  <c r="F143" i="35"/>
  <c r="B165" i="39"/>
  <c r="J164" i="39"/>
  <c r="G164" i="39" s="1"/>
  <c r="I164" i="39" s="1"/>
  <c r="C140" i="35"/>
  <c r="I141" i="35"/>
  <c r="E146" i="35"/>
  <c r="K145" i="35"/>
  <c r="X6" i="35" s="1"/>
  <c r="O35" i="18" s="1"/>
  <c r="E154" i="33"/>
  <c r="F129" i="33"/>
  <c r="G129" i="33" s="1"/>
  <c r="B130" i="33"/>
  <c r="D154" i="33"/>
  <c r="G143" i="35" l="1"/>
  <c r="F144" i="35"/>
  <c r="J165" i="39"/>
  <c r="G165" i="39" s="1"/>
  <c r="I165" i="39" s="1"/>
  <c r="B166" i="39"/>
  <c r="O30" i="21"/>
  <c r="D155" i="33"/>
  <c r="I142" i="35"/>
  <c r="C141" i="35"/>
  <c r="E147" i="35"/>
  <c r="B131" i="33"/>
  <c r="F130" i="33"/>
  <c r="G130" i="33" s="1"/>
  <c r="E155" i="33"/>
  <c r="H155" i="33" s="1"/>
  <c r="U4" i="33" s="1"/>
  <c r="N30" i="18" s="1"/>
  <c r="L42" i="21" s="1"/>
  <c r="G144" i="35" l="1"/>
  <c r="F145" i="35"/>
  <c r="B167" i="39"/>
  <c r="J166" i="39"/>
  <c r="G166" i="39" s="1"/>
  <c r="I166" i="39" s="1"/>
  <c r="E148" i="35"/>
  <c r="I143" i="35"/>
  <c r="C142" i="35"/>
  <c r="E156" i="33"/>
  <c r="D156" i="33"/>
  <c r="D157" i="33" s="1"/>
  <c r="F131" i="33"/>
  <c r="B132" i="33"/>
  <c r="G145" i="35" l="1"/>
  <c r="F146" i="35"/>
  <c r="B168" i="39"/>
  <c r="J167" i="39"/>
  <c r="G167" i="39" s="1"/>
  <c r="I167" i="39" s="1"/>
  <c r="C143" i="35"/>
  <c r="I144" i="35"/>
  <c r="E149" i="35"/>
  <c r="G131" i="33"/>
  <c r="I131" i="33"/>
  <c r="S5" i="33" s="1"/>
  <c r="L31" i="18" s="1"/>
  <c r="B133" i="33"/>
  <c r="F132" i="33"/>
  <c r="E157" i="33"/>
  <c r="G146" i="35" l="1"/>
  <c r="F147" i="35"/>
  <c r="J43" i="21"/>
  <c r="J41" i="21" s="1"/>
  <c r="B169" i="39"/>
  <c r="J168" i="39"/>
  <c r="G168" i="39" s="1"/>
  <c r="I168" i="39" s="1"/>
  <c r="C144" i="35"/>
  <c r="E150" i="35"/>
  <c r="Q57" i="21"/>
  <c r="G132" i="33"/>
  <c r="E158" i="33"/>
  <c r="F133" i="33"/>
  <c r="G133" i="33" s="1"/>
  <c r="B134" i="33"/>
  <c r="D158" i="33"/>
  <c r="G147" i="35" l="1"/>
  <c r="F148" i="35"/>
  <c r="J169" i="39"/>
  <c r="G169" i="39" s="1"/>
  <c r="B170" i="39"/>
  <c r="D159" i="33"/>
  <c r="E151" i="35"/>
  <c r="L145" i="35"/>
  <c r="X7" i="35" s="1"/>
  <c r="X9" i="35" s="1"/>
  <c r="I145" i="35"/>
  <c r="C145" i="35"/>
  <c r="B135" i="33"/>
  <c r="F134" i="33"/>
  <c r="G134" i="33" s="1"/>
  <c r="E159" i="33"/>
  <c r="G148" i="35" l="1"/>
  <c r="F149" i="35"/>
  <c r="I169" i="39"/>
  <c r="L169" i="39"/>
  <c r="X7" i="39" s="1"/>
  <c r="B171" i="39"/>
  <c r="J170" i="39"/>
  <c r="G170" i="39" s="1"/>
  <c r="O36" i="18"/>
  <c r="I146" i="35"/>
  <c r="C146" i="35"/>
  <c r="I147" i="35"/>
  <c r="E152" i="35"/>
  <c r="E160" i="33"/>
  <c r="D160" i="33"/>
  <c r="D161" i="33" s="1"/>
  <c r="F135" i="33"/>
  <c r="B136" i="33"/>
  <c r="AA7" i="40" l="1"/>
  <c r="S51" i="18"/>
  <c r="G149" i="35"/>
  <c r="F150" i="35"/>
  <c r="X9" i="39"/>
  <c r="I170" i="39"/>
  <c r="B172" i="39"/>
  <c r="J171" i="39"/>
  <c r="G171" i="39" s="1"/>
  <c r="I171" i="39" s="1"/>
  <c r="O31" i="21"/>
  <c r="O29" i="21" s="1"/>
  <c r="E161" i="33"/>
  <c r="E162" i="33" s="1"/>
  <c r="E163" i="33" s="1"/>
  <c r="E153" i="35"/>
  <c r="I148" i="35"/>
  <c r="C147" i="35"/>
  <c r="G135" i="33"/>
  <c r="B137" i="33"/>
  <c r="F136" i="33"/>
  <c r="G136" i="33" s="1"/>
  <c r="E164" i="33" l="1"/>
  <c r="C168" i="33" s="1"/>
  <c r="H164" i="33"/>
  <c r="H167" i="33" s="1"/>
  <c r="G150" i="35"/>
  <c r="F151" i="35"/>
  <c r="D162" i="33"/>
  <c r="D163" i="33" s="1"/>
  <c r="F40" i="28"/>
  <c r="F38" i="28" s="1"/>
  <c r="S26" i="28"/>
  <c r="T39" i="7"/>
  <c r="S54" i="18"/>
  <c r="S60" i="18"/>
  <c r="J172" i="39"/>
  <c r="G172" i="39" s="1"/>
  <c r="B173" i="39"/>
  <c r="J173" i="39" s="1"/>
  <c r="G173" i="39" s="1"/>
  <c r="V4" i="33"/>
  <c r="C148" i="35"/>
  <c r="E154" i="35"/>
  <c r="F137" i="33"/>
  <c r="G137" i="33" s="1"/>
  <c r="B138" i="33"/>
  <c r="G151" i="35" l="1"/>
  <c r="F152" i="35"/>
  <c r="Y4" i="33"/>
  <c r="O30" i="18"/>
  <c r="I173" i="39"/>
  <c r="G174" i="39"/>
  <c r="I172" i="39"/>
  <c r="L173" i="39"/>
  <c r="C149" i="35"/>
  <c r="I150" i="35"/>
  <c r="I149" i="35"/>
  <c r="E155" i="35"/>
  <c r="B139" i="33"/>
  <c r="F138" i="33"/>
  <c r="G138" i="33" s="1"/>
  <c r="G152" i="35" l="1"/>
  <c r="F153" i="35"/>
  <c r="O42" i="21"/>
  <c r="W30" i="18"/>
  <c r="Y7" i="39"/>
  <c r="L177" i="39"/>
  <c r="L178" i="39" s="1"/>
  <c r="C150" i="35"/>
  <c r="I151" i="35"/>
  <c r="E156" i="35"/>
  <c r="F139" i="33"/>
  <c r="G139" i="33" s="1"/>
  <c r="B140" i="33"/>
  <c r="T51" i="18" l="1"/>
  <c r="G153" i="35"/>
  <c r="F154" i="35"/>
  <c r="AA7" i="39"/>
  <c r="Y9" i="39"/>
  <c r="I152" i="35"/>
  <c r="C151" i="35"/>
  <c r="E157" i="35"/>
  <c r="B141" i="33"/>
  <c r="F140" i="33"/>
  <c r="G140" i="33" s="1"/>
  <c r="G154" i="35" l="1"/>
  <c r="F155" i="35"/>
  <c r="G40" i="28"/>
  <c r="G38" i="28" s="1"/>
  <c r="T54" i="18"/>
  <c r="T60" i="18"/>
  <c r="I153" i="35"/>
  <c r="C152" i="35"/>
  <c r="E158" i="35"/>
  <c r="K157" i="35"/>
  <c r="Y6" i="35" s="1"/>
  <c r="P35" i="18" s="1"/>
  <c r="F141" i="33"/>
  <c r="G141" i="33" s="1"/>
  <c r="B142" i="33"/>
  <c r="G155" i="35" l="1"/>
  <c r="F156" i="35"/>
  <c r="C39" i="28"/>
  <c r="P30" i="21"/>
  <c r="C153" i="35"/>
  <c r="I154" i="35"/>
  <c r="E159" i="35"/>
  <c r="B143" i="33"/>
  <c r="F142" i="33"/>
  <c r="G142" i="33" s="1"/>
  <c r="G156" i="35" l="1"/>
  <c r="F157" i="35"/>
  <c r="P25" i="28"/>
  <c r="P10" i="21"/>
  <c r="P38" i="7"/>
  <c r="C154" i="35"/>
  <c r="I155" i="35"/>
  <c r="E160" i="35"/>
  <c r="F143" i="33"/>
  <c r="B144" i="33"/>
  <c r="G157" i="35" l="1"/>
  <c r="F158" i="35"/>
  <c r="I156" i="35"/>
  <c r="C155" i="35"/>
  <c r="E161" i="35"/>
  <c r="E162" i="35" s="1"/>
  <c r="E163" i="35" s="1"/>
  <c r="E164" i="35" s="1"/>
  <c r="G143" i="33"/>
  <c r="I143" i="33"/>
  <c r="T5" i="33" s="1"/>
  <c r="M31" i="18" s="1"/>
  <c r="B145" i="33"/>
  <c r="F144" i="33"/>
  <c r="G158" i="35" l="1"/>
  <c r="F159" i="35"/>
  <c r="K43" i="21"/>
  <c r="K41" i="21" s="1"/>
  <c r="K164" i="35"/>
  <c r="C156" i="35"/>
  <c r="R57" i="21"/>
  <c r="G144" i="33"/>
  <c r="F145" i="33"/>
  <c r="G145" i="33" s="1"/>
  <c r="B146" i="33"/>
  <c r="G159" i="35" l="1"/>
  <c r="F160" i="35"/>
  <c r="Z6" i="35"/>
  <c r="K167" i="35"/>
  <c r="L157" i="35"/>
  <c r="Y7" i="35" s="1"/>
  <c r="Y9" i="35" s="1"/>
  <c r="I157" i="35"/>
  <c r="C157" i="35"/>
  <c r="B147" i="33"/>
  <c r="F146" i="33"/>
  <c r="G146" i="33" s="1"/>
  <c r="G160" i="35" l="1"/>
  <c r="F161" i="35"/>
  <c r="AD6" i="35"/>
  <c r="Q35" i="18"/>
  <c r="P36" i="18"/>
  <c r="I158" i="35"/>
  <c r="C158" i="35"/>
  <c r="F147" i="33"/>
  <c r="B148" i="33"/>
  <c r="F162" i="35" l="1"/>
  <c r="G161" i="35"/>
  <c r="D39" i="28"/>
  <c r="Q30" i="21"/>
  <c r="W35" i="18"/>
  <c r="C40" i="28"/>
  <c r="P31" i="21"/>
  <c r="I159" i="35"/>
  <c r="C159" i="35"/>
  <c r="I160" i="35"/>
  <c r="G147" i="33"/>
  <c r="B149" i="33"/>
  <c r="F148" i="33"/>
  <c r="G148" i="33" s="1"/>
  <c r="G162" i="35" l="1"/>
  <c r="F163" i="35"/>
  <c r="G163" i="35" s="1"/>
  <c r="Q25" i="28"/>
  <c r="P11" i="21"/>
  <c r="P29" i="21"/>
  <c r="Q38" i="7"/>
  <c r="P26" i="28"/>
  <c r="P39" i="7"/>
  <c r="I163" i="35"/>
  <c r="I162" i="35"/>
  <c r="C160" i="35"/>
  <c r="F149" i="33"/>
  <c r="G149" i="33" s="1"/>
  <c r="B150" i="33"/>
  <c r="Q23" i="7" l="1"/>
  <c r="Q8" i="7"/>
  <c r="L164" i="35"/>
  <c r="Z7" i="35" s="1"/>
  <c r="Z9" i="35" s="1"/>
  <c r="G164" i="35"/>
  <c r="R23" i="7"/>
  <c r="R8" i="7"/>
  <c r="I161" i="35"/>
  <c r="I164" i="35" s="1"/>
  <c r="C161" i="35"/>
  <c r="B151" i="33"/>
  <c r="F150" i="33"/>
  <c r="L167" i="35" l="1"/>
  <c r="Q36" i="18"/>
  <c r="G150" i="33"/>
  <c r="F151" i="33"/>
  <c r="G151" i="33" s="1"/>
  <c r="B152" i="33"/>
  <c r="Q60" i="18" l="1"/>
  <c r="D40" i="28"/>
  <c r="Q31" i="21"/>
  <c r="Q29" i="21" s="1"/>
  <c r="B153" i="33"/>
  <c r="F152" i="33"/>
  <c r="G152" i="33" s="1"/>
  <c r="Q26" i="28" l="1"/>
  <c r="AB29" i="21"/>
  <c r="Q54" i="18"/>
  <c r="Q39" i="7"/>
  <c r="F153" i="33"/>
  <c r="G153" i="33" s="1"/>
  <c r="B154" i="33"/>
  <c r="Q24" i="7" l="1"/>
  <c r="Q9" i="7"/>
  <c r="R24" i="7"/>
  <c r="R9" i="7"/>
  <c r="B155" i="33"/>
  <c r="F154" i="33"/>
  <c r="G154" i="33" s="1"/>
  <c r="F155" i="33" l="1"/>
  <c r="B156" i="33"/>
  <c r="AD7" i="35" l="1"/>
  <c r="G155" i="33"/>
  <c r="I155" i="33"/>
  <c r="U5" i="33" s="1"/>
  <c r="N31" i="18" s="1"/>
  <c r="L43" i="21" s="1"/>
  <c r="L41" i="21" s="1"/>
  <c r="B157" i="33"/>
  <c r="F156" i="33"/>
  <c r="G156" i="33" l="1"/>
  <c r="F157" i="33"/>
  <c r="G157" i="33" s="1"/>
  <c r="B158" i="33"/>
  <c r="B159" i="33" l="1"/>
  <c r="F158" i="33"/>
  <c r="G158" i="33" s="1"/>
  <c r="F159" i="33" l="1"/>
  <c r="B160" i="33"/>
  <c r="F160" i="33" l="1"/>
  <c r="G160" i="33" s="1"/>
  <c r="B161" i="33"/>
  <c r="G159" i="33"/>
  <c r="B162" i="33" l="1"/>
  <c r="F161" i="33"/>
  <c r="G161" i="33" s="1"/>
  <c r="G164" i="33"/>
  <c r="E20" i="32"/>
  <c r="C19" i="32"/>
  <c r="A18" i="32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s="1"/>
  <c r="A56" i="32" s="1"/>
  <c r="A57" i="32" s="1"/>
  <c r="A58" i="32" s="1"/>
  <c r="A59" i="32" s="1"/>
  <c r="A60" i="32" s="1"/>
  <c r="A61" i="32" s="1"/>
  <c r="A62" i="32" s="1"/>
  <c r="A63" i="32" s="1"/>
  <c r="A64" i="32" s="1"/>
  <c r="A65" i="32" s="1"/>
  <c r="A66" i="32" s="1"/>
  <c r="A67" i="32" s="1"/>
  <c r="A68" i="32" s="1"/>
  <c r="A69" i="32" s="1"/>
  <c r="A70" i="32" s="1"/>
  <c r="A71" i="32" s="1"/>
  <c r="A72" i="32" s="1"/>
  <c r="A73" i="32" s="1"/>
  <c r="A74" i="32" s="1"/>
  <c r="A75" i="32" s="1"/>
  <c r="A76" i="32" s="1"/>
  <c r="A77" i="32" s="1"/>
  <c r="A78" i="32" s="1"/>
  <c r="A79" i="32" s="1"/>
  <c r="A80" i="32" s="1"/>
  <c r="A81" i="32" s="1"/>
  <c r="A82" i="32" s="1"/>
  <c r="A83" i="32" s="1"/>
  <c r="A84" i="32" s="1"/>
  <c r="A85" i="32" s="1"/>
  <c r="A86" i="32" s="1"/>
  <c r="A87" i="32" s="1"/>
  <c r="A88" i="32" s="1"/>
  <c r="A89" i="32" s="1"/>
  <c r="A90" i="32" s="1"/>
  <c r="A91" i="32" s="1"/>
  <c r="A92" i="32" s="1"/>
  <c r="A93" i="32" s="1"/>
  <c r="A94" i="32" s="1"/>
  <c r="A95" i="32" s="1"/>
  <c r="A96" i="32" s="1"/>
  <c r="A97" i="32" s="1"/>
  <c r="A98" i="32" s="1"/>
  <c r="A99" i="32" s="1"/>
  <c r="A100" i="32" s="1"/>
  <c r="A101" i="32" s="1"/>
  <c r="A102" i="32" s="1"/>
  <c r="A103" i="32" s="1"/>
  <c r="A104" i="32" s="1"/>
  <c r="A105" i="32" s="1"/>
  <c r="A106" i="32" s="1"/>
  <c r="A107" i="32" s="1"/>
  <c r="A108" i="32" s="1"/>
  <c r="A109" i="32" s="1"/>
  <c r="A110" i="32" s="1"/>
  <c r="A111" i="32" s="1"/>
  <c r="A112" i="32" s="1"/>
  <c r="A113" i="32" s="1"/>
  <c r="A114" i="32" s="1"/>
  <c r="A115" i="32" s="1"/>
  <c r="A116" i="32" s="1"/>
  <c r="A117" i="32" s="1"/>
  <c r="A118" i="32" s="1"/>
  <c r="A119" i="32" s="1"/>
  <c r="A120" i="32" s="1"/>
  <c r="A121" i="32" s="1"/>
  <c r="A122" i="32" s="1"/>
  <c r="A123" i="32" s="1"/>
  <c r="A124" i="32" s="1"/>
  <c r="A125" i="32" s="1"/>
  <c r="A126" i="32" s="1"/>
  <c r="A127" i="32" s="1"/>
  <c r="A128" i="32" s="1"/>
  <c r="A129" i="32" s="1"/>
  <c r="A130" i="32" s="1"/>
  <c r="A131" i="32" s="1"/>
  <c r="A132" i="32" s="1"/>
  <c r="A133" i="32" s="1"/>
  <c r="A134" i="32" s="1"/>
  <c r="A135" i="32" s="1"/>
  <c r="A136" i="32" s="1"/>
  <c r="G17" i="32"/>
  <c r="D17" i="32"/>
  <c r="D18" i="32" s="1"/>
  <c r="D19" i="32" s="1"/>
  <c r="D20" i="32" s="1"/>
  <c r="D21" i="32" s="1"/>
  <c r="G16" i="32"/>
  <c r="B13" i="32"/>
  <c r="B14" i="32" s="1"/>
  <c r="B15" i="32" s="1"/>
  <c r="B16" i="32" s="1"/>
  <c r="B17" i="32" s="1"/>
  <c r="B18" i="32" s="1"/>
  <c r="D4" i="32"/>
  <c r="E1" i="32"/>
  <c r="B163" i="33" l="1"/>
  <c r="F163" i="33" s="1"/>
  <c r="F162" i="33"/>
  <c r="G162" i="33" s="1"/>
  <c r="B19" i="32"/>
  <c r="F18" i="32"/>
  <c r="G18" i="32" s="1"/>
  <c r="E21" i="32"/>
  <c r="D22" i="32" s="1"/>
  <c r="G163" i="33" l="1"/>
  <c r="F164" i="33"/>
  <c r="C169" i="33" s="1"/>
  <c r="C172" i="33" s="1"/>
  <c r="I164" i="33"/>
  <c r="E22" i="32"/>
  <c r="B20" i="32"/>
  <c r="F19" i="32"/>
  <c r="I167" i="33" l="1"/>
  <c r="V5" i="33"/>
  <c r="G19" i="32"/>
  <c r="E23" i="32"/>
  <c r="I23" i="32" s="1"/>
  <c r="B21" i="32"/>
  <c r="F20" i="32"/>
  <c r="G20" i="32" s="1"/>
  <c r="D23" i="32"/>
  <c r="Y5" i="33" l="1"/>
  <c r="O31" i="18"/>
  <c r="O43" i="21" s="1"/>
  <c r="O41" i="21" s="1"/>
  <c r="J4" i="32"/>
  <c r="D24" i="32"/>
  <c r="E24" i="32"/>
  <c r="B22" i="32"/>
  <c r="F21" i="32"/>
  <c r="G21" i="32" l="1"/>
  <c r="E25" i="32"/>
  <c r="B23" i="32"/>
  <c r="F22" i="32"/>
  <c r="D25" i="32"/>
  <c r="D26" i="32" l="1"/>
  <c r="B24" i="32"/>
  <c r="F23" i="32"/>
  <c r="G23" i="32" s="1"/>
  <c r="E26" i="32"/>
  <c r="G22" i="32"/>
  <c r="J23" i="32" l="1"/>
  <c r="E27" i="32"/>
  <c r="D27" i="32"/>
  <c r="D28" i="32" s="1"/>
  <c r="B25" i="32"/>
  <c r="F24" i="32"/>
  <c r="G24" i="32" l="1"/>
  <c r="J5" i="32"/>
  <c r="B26" i="32"/>
  <c r="F25" i="32"/>
  <c r="G25" i="32" s="1"/>
  <c r="E28" i="32"/>
  <c r="B27" i="32" l="1"/>
  <c r="F26" i="32"/>
  <c r="G26" i="32" s="1"/>
  <c r="E29" i="32"/>
  <c r="D29" i="32"/>
  <c r="D30" i="32" s="1"/>
  <c r="E30" i="32" l="1"/>
  <c r="B28" i="32"/>
  <c r="F27" i="32"/>
  <c r="G27" i="32" s="1"/>
  <c r="B29" i="32" l="1"/>
  <c r="F28" i="32"/>
  <c r="G28" i="32" s="1"/>
  <c r="E31" i="32"/>
  <c r="D31" i="32"/>
  <c r="D32" i="32" s="1"/>
  <c r="E32" i="32" l="1"/>
  <c r="D33" i="32" s="1"/>
  <c r="B30" i="32"/>
  <c r="F29" i="32"/>
  <c r="G29" i="32" l="1"/>
  <c r="B31" i="32"/>
  <c r="F30" i="32"/>
  <c r="G30" i="32" s="1"/>
  <c r="E33" i="32"/>
  <c r="E34" i="32" l="1"/>
  <c r="B32" i="32"/>
  <c r="F31" i="32"/>
  <c r="G31" i="32" s="1"/>
  <c r="D34" i="32"/>
  <c r="D35" i="32" l="1"/>
  <c r="B33" i="32"/>
  <c r="F32" i="32"/>
  <c r="G32" i="32" s="1"/>
  <c r="E35" i="32"/>
  <c r="I35" i="32" s="1"/>
  <c r="K4" i="32" l="1"/>
  <c r="E36" i="32"/>
  <c r="D36" i="32"/>
  <c r="D37" i="32" s="1"/>
  <c r="B34" i="32"/>
  <c r="F33" i="32"/>
  <c r="G33" i="32" s="1"/>
  <c r="B35" i="32" l="1"/>
  <c r="F34" i="32"/>
  <c r="G34" i="32" s="1"/>
  <c r="E37" i="32"/>
  <c r="E38" i="32" l="1"/>
  <c r="B36" i="32"/>
  <c r="F35" i="32"/>
  <c r="D38" i="32"/>
  <c r="D39" i="32" l="1"/>
  <c r="G35" i="32"/>
  <c r="J35" i="32"/>
  <c r="B37" i="32"/>
  <c r="F36" i="32"/>
  <c r="E39" i="32"/>
  <c r="D40" i="32" l="1"/>
  <c r="G36" i="32"/>
  <c r="K5" i="32"/>
  <c r="E40" i="32"/>
  <c r="B38" i="32"/>
  <c r="F37" i="32"/>
  <c r="G37" i="32" s="1"/>
  <c r="D41" i="32" l="1"/>
  <c r="B39" i="32"/>
  <c r="F38" i="32"/>
  <c r="G38" i="32" s="1"/>
  <c r="E41" i="32"/>
  <c r="E42" i="32" l="1"/>
  <c r="B40" i="32"/>
  <c r="F39" i="32"/>
  <c r="G39" i="32" s="1"/>
  <c r="D42" i="32"/>
  <c r="D43" i="32" l="1"/>
  <c r="B41" i="32"/>
  <c r="F40" i="32"/>
  <c r="E43" i="32"/>
  <c r="G40" i="32" l="1"/>
  <c r="E44" i="32"/>
  <c r="D44" i="32"/>
  <c r="D45" i="32" s="1"/>
  <c r="B42" i="32"/>
  <c r="F41" i="32"/>
  <c r="G41" i="32" s="1"/>
  <c r="B43" i="32" l="1"/>
  <c r="F42" i="32"/>
  <c r="G42" i="32" s="1"/>
  <c r="E45" i="32"/>
  <c r="E46" i="32" l="1"/>
  <c r="B44" i="32"/>
  <c r="F43" i="32"/>
  <c r="G43" i="32" s="1"/>
  <c r="D46" i="32"/>
  <c r="D47" i="32" l="1"/>
  <c r="B45" i="32"/>
  <c r="F44" i="32"/>
  <c r="G44" i="32" s="1"/>
  <c r="E47" i="32"/>
  <c r="I47" i="32" s="1"/>
  <c r="L4" i="32" l="1"/>
  <c r="E48" i="32"/>
  <c r="D48" i="32"/>
  <c r="D49" i="32" s="1"/>
  <c r="B46" i="32"/>
  <c r="F45" i="32"/>
  <c r="G45" i="32" s="1"/>
  <c r="G6" i="18" l="1"/>
  <c r="B47" i="32"/>
  <c r="F46" i="32"/>
  <c r="G46" i="32" s="1"/>
  <c r="E49" i="32"/>
  <c r="E50" i="32" l="1"/>
  <c r="B48" i="32"/>
  <c r="F47" i="32"/>
  <c r="D50" i="32"/>
  <c r="G47" i="32" l="1"/>
  <c r="J47" i="32"/>
  <c r="D51" i="32"/>
  <c r="B49" i="32"/>
  <c r="F48" i="32"/>
  <c r="E51" i="32"/>
  <c r="G48" i="32" l="1"/>
  <c r="L5" i="32"/>
  <c r="E52" i="32"/>
  <c r="D52" i="32"/>
  <c r="D53" i="32" s="1"/>
  <c r="B50" i="32"/>
  <c r="F49" i="32"/>
  <c r="G49" i="32" s="1"/>
  <c r="G7" i="18" l="1"/>
  <c r="B51" i="32"/>
  <c r="F50" i="32"/>
  <c r="G50" i="32" s="1"/>
  <c r="E53" i="32"/>
  <c r="E54" i="32" l="1"/>
  <c r="B52" i="32"/>
  <c r="F51" i="32"/>
  <c r="G51" i="32" s="1"/>
  <c r="D54" i="32"/>
  <c r="D55" i="32" l="1"/>
  <c r="B53" i="32"/>
  <c r="F52" i="32"/>
  <c r="G52" i="32" s="1"/>
  <c r="E55" i="32"/>
  <c r="E56" i="32" l="1"/>
  <c r="D56" i="32"/>
  <c r="F53" i="32"/>
  <c r="G53" i="32" s="1"/>
  <c r="B54" i="32"/>
  <c r="E57" i="32" l="1"/>
  <c r="D57" i="32"/>
  <c r="F54" i="32"/>
  <c r="G54" i="32" s="1"/>
  <c r="B55" i="32"/>
  <c r="D58" i="32" l="1"/>
  <c r="F55" i="32"/>
  <c r="G55" i="32" s="1"/>
  <c r="B56" i="32"/>
  <c r="E58" i="32"/>
  <c r="F56" i="32" l="1"/>
  <c r="G56" i="32" s="1"/>
  <c r="B57" i="32"/>
  <c r="E59" i="32"/>
  <c r="I59" i="32" s="1"/>
  <c r="D59" i="32"/>
  <c r="M4" i="32" l="1"/>
  <c r="E60" i="32"/>
  <c r="F57" i="32"/>
  <c r="G57" i="32" s="1"/>
  <c r="B58" i="32"/>
  <c r="D60" i="32"/>
  <c r="F58" i="32" l="1"/>
  <c r="G58" i="32" s="1"/>
  <c r="B59" i="32"/>
  <c r="E61" i="32"/>
  <c r="D61" i="32"/>
  <c r="E62" i="32" l="1"/>
  <c r="F59" i="32"/>
  <c r="B60" i="32"/>
  <c r="D62" i="32"/>
  <c r="D63" i="32" l="1"/>
  <c r="G59" i="32"/>
  <c r="J59" i="32"/>
  <c r="F60" i="32"/>
  <c r="B61" i="32"/>
  <c r="E63" i="32"/>
  <c r="D64" i="32" s="1"/>
  <c r="G60" i="32" l="1"/>
  <c r="M5" i="32"/>
  <c r="F61" i="32"/>
  <c r="G61" i="32" s="1"/>
  <c r="B62" i="32"/>
  <c r="E64" i="32"/>
  <c r="F62" i="32" l="1"/>
  <c r="G62" i="32" s="1"/>
  <c r="B63" i="32"/>
  <c r="E65" i="32"/>
  <c r="D65" i="32"/>
  <c r="E66" i="32" l="1"/>
  <c r="F63" i="32"/>
  <c r="G63" i="32" s="1"/>
  <c r="B64" i="32"/>
  <c r="D66" i="32"/>
  <c r="D67" i="32" l="1"/>
  <c r="F64" i="32"/>
  <c r="G64" i="32" s="1"/>
  <c r="B65" i="32"/>
  <c r="E67" i="32"/>
  <c r="D68" i="32" l="1"/>
  <c r="F65" i="32"/>
  <c r="G65" i="32" s="1"/>
  <c r="B66" i="32"/>
  <c r="E68" i="32"/>
  <c r="F66" i="32" l="1"/>
  <c r="G66" i="32" s="1"/>
  <c r="B67" i="32"/>
  <c r="E69" i="32"/>
  <c r="D69" i="32"/>
  <c r="E70" i="32" l="1"/>
  <c r="F67" i="32"/>
  <c r="G67" i="32" s="1"/>
  <c r="B68" i="32"/>
  <c r="D70" i="32"/>
  <c r="D71" i="32" l="1"/>
  <c r="F68" i="32"/>
  <c r="G68" i="32" s="1"/>
  <c r="B69" i="32"/>
  <c r="E71" i="32"/>
  <c r="D72" i="32" l="1"/>
  <c r="I71" i="32"/>
  <c r="F69" i="32"/>
  <c r="G69" i="32" s="1"/>
  <c r="B70" i="32"/>
  <c r="E72" i="32"/>
  <c r="N4" i="32" l="1"/>
  <c r="F70" i="32"/>
  <c r="G70" i="32" s="1"/>
  <c r="B71" i="32"/>
  <c r="E73" i="32"/>
  <c r="D73" i="32"/>
  <c r="E74" i="32" l="1"/>
  <c r="F71" i="32"/>
  <c r="B72" i="32"/>
  <c r="D74" i="32"/>
  <c r="D75" i="32" s="1"/>
  <c r="G71" i="32" l="1"/>
  <c r="J71" i="32"/>
  <c r="F72" i="32"/>
  <c r="B73" i="32"/>
  <c r="E75" i="32"/>
  <c r="D76" i="32" l="1"/>
  <c r="N5" i="32"/>
  <c r="G72" i="32"/>
  <c r="F73" i="32"/>
  <c r="G73" i="32" s="1"/>
  <c r="B74" i="32"/>
  <c r="E76" i="32"/>
  <c r="F74" i="32" l="1"/>
  <c r="G74" i="32" s="1"/>
  <c r="B75" i="32"/>
  <c r="E77" i="32"/>
  <c r="D77" i="32"/>
  <c r="E78" i="32" l="1"/>
  <c r="F75" i="32"/>
  <c r="G75" i="32" s="1"/>
  <c r="B76" i="32"/>
  <c r="D78" i="32"/>
  <c r="D79" i="32" l="1"/>
  <c r="F76" i="32"/>
  <c r="G76" i="32" s="1"/>
  <c r="B77" i="32"/>
  <c r="D80" i="32"/>
  <c r="E79" i="32"/>
  <c r="F77" i="32" l="1"/>
  <c r="G77" i="32" s="1"/>
  <c r="B78" i="32"/>
  <c r="E80" i="32"/>
  <c r="F78" i="32" l="1"/>
  <c r="G78" i="32" s="1"/>
  <c r="B79" i="32"/>
  <c r="E81" i="32"/>
  <c r="D81" i="32"/>
  <c r="E82" i="32" l="1"/>
  <c r="F79" i="32"/>
  <c r="G79" i="32" s="1"/>
  <c r="B80" i="32"/>
  <c r="D82" i="32"/>
  <c r="D83" i="32" s="1"/>
  <c r="F80" i="32" l="1"/>
  <c r="G80" i="32" s="1"/>
  <c r="B81" i="32"/>
  <c r="E83" i="32"/>
  <c r="I83" i="32" s="1"/>
  <c r="O4" i="32" s="1"/>
  <c r="H6" i="18" s="1"/>
  <c r="F26" i="21" l="1"/>
  <c r="E84" i="32"/>
  <c r="D84" i="32"/>
  <c r="B82" i="32"/>
  <c r="F81" i="32"/>
  <c r="G81" i="32" s="1"/>
  <c r="D85" i="32" l="1"/>
  <c r="B83" i="32"/>
  <c r="F82" i="32"/>
  <c r="G82" i="32" s="1"/>
  <c r="E85" i="32"/>
  <c r="F83" i="32" l="1"/>
  <c r="B84" i="32"/>
  <c r="E86" i="32"/>
  <c r="D86" i="32"/>
  <c r="G83" i="32" l="1"/>
  <c r="J83" i="32"/>
  <c r="O5" i="32" s="1"/>
  <c r="H7" i="18" s="1"/>
  <c r="E87" i="32"/>
  <c r="B85" i="32"/>
  <c r="F84" i="32"/>
  <c r="D87" i="32"/>
  <c r="F27" i="21" l="1"/>
  <c r="F25" i="21" s="1"/>
  <c r="D88" i="32"/>
  <c r="G84" i="32"/>
  <c r="B86" i="32"/>
  <c r="F85" i="32"/>
  <c r="G85" i="32" s="1"/>
  <c r="E88" i="32"/>
  <c r="E89" i="32" l="1"/>
  <c r="D89" i="32"/>
  <c r="B87" i="32"/>
  <c r="F86" i="32"/>
  <c r="G86" i="32" s="1"/>
  <c r="D90" i="32" l="1"/>
  <c r="B88" i="32"/>
  <c r="F87" i="32"/>
  <c r="G87" i="32" s="1"/>
  <c r="E90" i="32"/>
  <c r="E91" i="32" l="1"/>
  <c r="B89" i="32"/>
  <c r="F88" i="32"/>
  <c r="G88" i="32" s="1"/>
  <c r="D91" i="32"/>
  <c r="D92" i="32" s="1"/>
  <c r="B90" i="32" l="1"/>
  <c r="F89" i="32"/>
  <c r="E92" i="32"/>
  <c r="G89" i="32" l="1"/>
  <c r="E93" i="32"/>
  <c r="D93" i="32"/>
  <c r="D94" i="32" s="1"/>
  <c r="B91" i="32"/>
  <c r="F90" i="32"/>
  <c r="G90" i="32" s="1"/>
  <c r="B92" i="32" l="1"/>
  <c r="F91" i="32"/>
  <c r="G91" i="32" s="1"/>
  <c r="E94" i="32"/>
  <c r="E95" i="32" l="1"/>
  <c r="I95" i="32" s="1"/>
  <c r="P4" i="32" s="1"/>
  <c r="I6" i="18" s="1"/>
  <c r="B93" i="32"/>
  <c r="F92" i="32"/>
  <c r="G92" i="32" s="1"/>
  <c r="D95" i="32"/>
  <c r="D96" i="32" s="1"/>
  <c r="G26" i="21" l="1"/>
  <c r="B94" i="32"/>
  <c r="F93" i="32"/>
  <c r="G93" i="32" s="1"/>
  <c r="E96" i="32"/>
  <c r="E97" i="32" l="1"/>
  <c r="D97" i="32"/>
  <c r="B95" i="32"/>
  <c r="F94" i="32"/>
  <c r="G94" i="32" s="1"/>
  <c r="D98" i="32" l="1"/>
  <c r="B96" i="32"/>
  <c r="F95" i="32"/>
  <c r="E98" i="32"/>
  <c r="G95" i="32" l="1"/>
  <c r="J95" i="32"/>
  <c r="P5" i="32" s="1"/>
  <c r="I7" i="18" s="1"/>
  <c r="E99" i="32"/>
  <c r="B97" i="32"/>
  <c r="F96" i="32"/>
  <c r="D99" i="32"/>
  <c r="G27" i="21" l="1"/>
  <c r="G25" i="21" s="1"/>
  <c r="D100" i="32"/>
  <c r="G96" i="32"/>
  <c r="B98" i="32"/>
  <c r="F97" i="32"/>
  <c r="G97" i="32" s="1"/>
  <c r="E100" i="32"/>
  <c r="E101" i="32" l="1"/>
  <c r="D101" i="32"/>
  <c r="B99" i="32"/>
  <c r="F98" i="32"/>
  <c r="G98" i="32" s="1"/>
  <c r="D102" i="32" l="1"/>
  <c r="B100" i="32"/>
  <c r="F99" i="32"/>
  <c r="G99" i="32" s="1"/>
  <c r="E102" i="32"/>
  <c r="E103" i="32" l="1"/>
  <c r="B101" i="32"/>
  <c r="F100" i="32"/>
  <c r="D103" i="32"/>
  <c r="D104" i="32" s="1"/>
  <c r="G100" i="32" l="1"/>
  <c r="B102" i="32"/>
  <c r="F101" i="32"/>
  <c r="G101" i="32" s="1"/>
  <c r="E104" i="32"/>
  <c r="E105" i="32" l="1"/>
  <c r="D105" i="32"/>
  <c r="D106" i="32" s="1"/>
  <c r="B103" i="32"/>
  <c r="F102" i="32"/>
  <c r="G102" i="32" s="1"/>
  <c r="B104" i="32" l="1"/>
  <c r="F103" i="32"/>
  <c r="G103" i="32" s="1"/>
  <c r="E106" i="32"/>
  <c r="E107" i="32" l="1"/>
  <c r="I107" i="32" s="1"/>
  <c r="Q4" i="32" s="1"/>
  <c r="J6" i="18" s="1"/>
  <c r="B105" i="32"/>
  <c r="F104" i="32"/>
  <c r="G104" i="32" s="1"/>
  <c r="D107" i="32"/>
  <c r="H26" i="21" l="1"/>
  <c r="D108" i="32"/>
  <c r="B106" i="32"/>
  <c r="F105" i="32"/>
  <c r="G105" i="32" s="1"/>
  <c r="E108" i="32"/>
  <c r="E109" i="32" l="1"/>
  <c r="D109" i="32"/>
  <c r="B107" i="32"/>
  <c r="F106" i="32"/>
  <c r="G106" i="32" s="1"/>
  <c r="D110" i="32" l="1"/>
  <c r="B108" i="32"/>
  <c r="F107" i="32"/>
  <c r="E110" i="32"/>
  <c r="G107" i="32" l="1"/>
  <c r="J107" i="32"/>
  <c r="Q5" i="32" s="1"/>
  <c r="J7" i="18" s="1"/>
  <c r="E111" i="32"/>
  <c r="B109" i="32"/>
  <c r="F108" i="32"/>
  <c r="D111" i="32"/>
  <c r="H27" i="21" l="1"/>
  <c r="H25" i="21" s="1"/>
  <c r="G108" i="32"/>
  <c r="D112" i="32"/>
  <c r="B110" i="32"/>
  <c r="F109" i="32"/>
  <c r="G109" i="32" s="1"/>
  <c r="E112" i="32"/>
  <c r="E113" i="32" l="1"/>
  <c r="D113" i="32"/>
  <c r="B111" i="32"/>
  <c r="F110" i="32"/>
  <c r="G110" i="32" s="1"/>
  <c r="D114" i="32" l="1"/>
  <c r="B112" i="32"/>
  <c r="F111" i="32"/>
  <c r="G111" i="32" s="1"/>
  <c r="E114" i="32"/>
  <c r="E115" i="32" l="1"/>
  <c r="D115" i="32"/>
  <c r="B113" i="32"/>
  <c r="F112" i="32"/>
  <c r="G112" i="32" l="1"/>
  <c r="D116" i="32"/>
  <c r="B114" i="32"/>
  <c r="F113" i="32"/>
  <c r="G113" i="32" s="1"/>
  <c r="E116" i="32"/>
  <c r="E117" i="32" l="1"/>
  <c r="B115" i="32"/>
  <c r="F114" i="32"/>
  <c r="G114" i="32" s="1"/>
  <c r="D117" i="32"/>
  <c r="D118" i="32" l="1"/>
  <c r="B116" i="32"/>
  <c r="F115" i="32"/>
  <c r="G115" i="32" s="1"/>
  <c r="E118" i="32"/>
  <c r="E119" i="32" l="1"/>
  <c r="I119" i="32" s="1"/>
  <c r="R4" i="32" s="1"/>
  <c r="K6" i="18" s="1"/>
  <c r="D119" i="32"/>
  <c r="B117" i="32"/>
  <c r="F116" i="32"/>
  <c r="G116" i="32" s="1"/>
  <c r="I26" i="21" l="1"/>
  <c r="D120" i="32"/>
  <c r="B118" i="32"/>
  <c r="F117" i="32"/>
  <c r="G117" i="32" s="1"/>
  <c r="E120" i="32"/>
  <c r="E121" i="32" l="1"/>
  <c r="B119" i="32"/>
  <c r="F118" i="32"/>
  <c r="G118" i="32" s="1"/>
  <c r="D121" i="32"/>
  <c r="D122" i="32" l="1"/>
  <c r="B120" i="32"/>
  <c r="F119" i="32"/>
  <c r="E122" i="32"/>
  <c r="G119" i="32" l="1"/>
  <c r="J119" i="32"/>
  <c r="R5" i="32" s="1"/>
  <c r="K7" i="18" s="1"/>
  <c r="E123" i="32"/>
  <c r="D123" i="32"/>
  <c r="B121" i="32"/>
  <c r="F120" i="32"/>
  <c r="I27" i="21" l="1"/>
  <c r="I25" i="21" s="1"/>
  <c r="G120" i="32"/>
  <c r="P49" i="21"/>
  <c r="D124" i="32"/>
  <c r="B122" i="32"/>
  <c r="F121" i="32"/>
  <c r="G121" i="32" s="1"/>
  <c r="E124" i="32"/>
  <c r="E125" i="32" l="1"/>
  <c r="B123" i="32"/>
  <c r="F122" i="32"/>
  <c r="G122" i="32" s="1"/>
  <c r="D125" i="32"/>
  <c r="D126" i="32" s="1"/>
  <c r="B124" i="32" l="1"/>
  <c r="F123" i="32"/>
  <c r="G123" i="32" s="1"/>
  <c r="E126" i="32"/>
  <c r="E127" i="32" l="1"/>
  <c r="D127" i="32"/>
  <c r="B125" i="32"/>
  <c r="F124" i="32"/>
  <c r="G124" i="32" l="1"/>
  <c r="D128" i="32"/>
  <c r="B126" i="32"/>
  <c r="F125" i="32"/>
  <c r="G125" i="32" s="1"/>
  <c r="E128" i="32"/>
  <c r="E129" i="32" l="1"/>
  <c r="B127" i="32"/>
  <c r="F126" i="32"/>
  <c r="G126" i="32" s="1"/>
  <c r="D129" i="32"/>
  <c r="D130" i="32" l="1"/>
  <c r="B128" i="32"/>
  <c r="F127" i="32"/>
  <c r="G127" i="32" s="1"/>
  <c r="E130" i="32"/>
  <c r="E131" i="32" l="1"/>
  <c r="I131" i="32" s="1"/>
  <c r="S4" i="32" s="1"/>
  <c r="L6" i="18" s="1"/>
  <c r="D131" i="32"/>
  <c r="B129" i="32"/>
  <c r="F128" i="32"/>
  <c r="G128" i="32" s="1"/>
  <c r="J26" i="21" l="1"/>
  <c r="D132" i="32"/>
  <c r="B130" i="32"/>
  <c r="F129" i="32"/>
  <c r="G129" i="32" s="1"/>
  <c r="E132" i="32"/>
  <c r="E133" i="32" l="1"/>
  <c r="B131" i="32"/>
  <c r="F130" i="32"/>
  <c r="G130" i="32" s="1"/>
  <c r="D133" i="32"/>
  <c r="D134" i="32" l="1"/>
  <c r="B132" i="32"/>
  <c r="F131" i="32"/>
  <c r="E134" i="32"/>
  <c r="G131" i="32" l="1"/>
  <c r="J131" i="32"/>
  <c r="S5" i="32" s="1"/>
  <c r="L7" i="18" s="1"/>
  <c r="E135" i="32"/>
  <c r="D135" i="32"/>
  <c r="B133" i="32"/>
  <c r="F132" i="32"/>
  <c r="J27" i="21" l="1"/>
  <c r="J25" i="21" s="1"/>
  <c r="G132" i="32"/>
  <c r="Q49" i="21"/>
  <c r="D136" i="32"/>
  <c r="B134" i="32"/>
  <c r="F133" i="32"/>
  <c r="G133" i="32" s="1"/>
  <c r="E136" i="32"/>
  <c r="I137" i="32" s="1"/>
  <c r="L25" i="21" l="1"/>
  <c r="T4" i="32"/>
  <c r="I141" i="32"/>
  <c r="E137" i="32"/>
  <c r="C141" i="32" s="1"/>
  <c r="B135" i="32"/>
  <c r="F134" i="32"/>
  <c r="G134" i="32" s="1"/>
  <c r="M6" i="18" l="1"/>
  <c r="X4" i="32"/>
  <c r="B136" i="32"/>
  <c r="F136" i="32" s="1"/>
  <c r="F135" i="32"/>
  <c r="G135" i="32" s="1"/>
  <c r="K26" i="21" l="1"/>
  <c r="J137" i="32"/>
  <c r="T5" i="32" s="1"/>
  <c r="F137" i="32"/>
  <c r="C142" i="32" s="1"/>
  <c r="C145" i="32" s="1"/>
  <c r="G136" i="32"/>
  <c r="G137" i="32" s="1"/>
  <c r="J141" i="32" l="1"/>
  <c r="M7" i="18"/>
  <c r="X5" i="32"/>
  <c r="K27" i="21" l="1"/>
  <c r="K25" i="21" s="1"/>
  <c r="R49" i="21"/>
  <c r="AB49" i="21" s="1"/>
  <c r="AB25" i="21" l="1"/>
  <c r="N56" i="21"/>
  <c r="E56" i="21"/>
  <c r="D56" i="21"/>
  <c r="N55" i="21"/>
  <c r="E55" i="21"/>
  <c r="D55" i="21"/>
  <c r="N54" i="21"/>
  <c r="E54" i="21"/>
  <c r="D54" i="21"/>
  <c r="D53" i="21" s="1"/>
  <c r="N53" i="21"/>
  <c r="R53" i="21" l="1"/>
  <c r="O53" i="21"/>
  <c r="E53" i="21"/>
  <c r="L53" i="21"/>
  <c r="Q53" i="21"/>
  <c r="P53" i="21"/>
  <c r="P9" i="7" l="1"/>
  <c r="P24" i="7"/>
  <c r="P8" i="7"/>
  <c r="P23" i="7"/>
  <c r="G53" i="21" l="1"/>
  <c r="H53" i="21" l="1"/>
  <c r="I53" i="21" l="1"/>
  <c r="J53" i="21" l="1"/>
  <c r="Q14" i="21" l="1"/>
  <c r="Q10" i="21" s="1"/>
  <c r="Q15" i="21"/>
  <c r="Q11" i="21" s="1"/>
  <c r="G27" i="18" l="1"/>
  <c r="H27" i="18"/>
  <c r="F24" i="21" s="1"/>
  <c r="I27" i="18"/>
  <c r="G24" i="21" s="1"/>
  <c r="J27" i="18"/>
  <c r="H24" i="21" s="1"/>
  <c r="K27" i="18"/>
  <c r="I24" i="21" s="1"/>
  <c r="L27" i="18"/>
  <c r="M27" i="18"/>
  <c r="N27" i="18"/>
  <c r="O27" i="18"/>
  <c r="P27" i="18"/>
  <c r="N6" i="30"/>
  <c r="O4" i="30"/>
  <c r="P4" i="30" s="1"/>
  <c r="Q4" i="30" s="1"/>
  <c r="R4" i="30" s="1"/>
  <c r="S4" i="30" s="1"/>
  <c r="T4" i="30" s="1"/>
  <c r="U4" i="30" s="1"/>
  <c r="V4" i="30" s="1"/>
  <c r="W4" i="30" s="1"/>
  <c r="X4" i="30" s="1"/>
  <c r="Y4" i="30" s="1"/>
  <c r="Z4" i="30" s="1"/>
  <c r="E41" i="28" l="1"/>
  <c r="L24" i="21"/>
  <c r="K24" i="21"/>
  <c r="K27" i="28"/>
  <c r="J24" i="21"/>
  <c r="J27" i="28"/>
  <c r="L64" i="21"/>
  <c r="Q24" i="21"/>
  <c r="Q12" i="21" s="1"/>
  <c r="N25" i="7"/>
  <c r="J25" i="7"/>
  <c r="Q25" i="7"/>
  <c r="M25" i="7"/>
  <c r="I25" i="7"/>
  <c r="P25" i="7"/>
  <c r="L25" i="7"/>
  <c r="H25" i="7"/>
  <c r="R25" i="7"/>
  <c r="R24" i="21"/>
  <c r="R12" i="21" s="1"/>
  <c r="O25" i="7"/>
  <c r="K25" i="7"/>
  <c r="S24" i="21"/>
  <c r="E22" i="21"/>
  <c r="E24" i="21"/>
  <c r="C166" i="30"/>
  <c r="E27" i="30"/>
  <c r="E28" i="30" s="1"/>
  <c r="E26" i="30"/>
  <c r="C25" i="30"/>
  <c r="A25" i="30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24" i="30"/>
  <c r="D23" i="30"/>
  <c r="F23" i="30" s="1"/>
  <c r="F24" i="30" s="1"/>
  <c r="F25" i="30" s="1"/>
  <c r="F26" i="30" s="1"/>
  <c r="F27" i="30" s="1"/>
  <c r="F22" i="30"/>
  <c r="E21" i="30"/>
  <c r="E22" i="30" s="1"/>
  <c r="B15" i="30"/>
  <c r="B16" i="30" s="1"/>
  <c r="E8" i="30"/>
  <c r="G14" i="30" s="1"/>
  <c r="E5" i="30"/>
  <c r="F28" i="30" l="1"/>
  <c r="F29" i="30" s="1"/>
  <c r="N27" i="28"/>
  <c r="L27" i="28"/>
  <c r="O27" i="28"/>
  <c r="M27" i="28"/>
  <c r="L40" i="7"/>
  <c r="P40" i="7"/>
  <c r="P54" i="18"/>
  <c r="AB41" i="21" s="1"/>
  <c r="M40" i="7"/>
  <c r="O40" i="7"/>
  <c r="D41" i="28"/>
  <c r="P27" i="28"/>
  <c r="C41" i="28"/>
  <c r="N40" i="7"/>
  <c r="S12" i="21"/>
  <c r="R64" i="21"/>
  <c r="Q64" i="21"/>
  <c r="S40" i="7"/>
  <c r="P60" i="18"/>
  <c r="O10" i="7"/>
  <c r="Q10" i="7"/>
  <c r="P10" i="7"/>
  <c r="R10" i="7"/>
  <c r="G16" i="30"/>
  <c r="I16" i="30" s="1"/>
  <c r="C15" i="30"/>
  <c r="B17" i="30"/>
  <c r="E23" i="30"/>
  <c r="E29" i="30"/>
  <c r="G15" i="30"/>
  <c r="I15" i="30" s="1"/>
  <c r="C14" i="30"/>
  <c r="J4" i="29"/>
  <c r="J5" i="29"/>
  <c r="J6" i="29"/>
  <c r="J3" i="29"/>
  <c r="K53" i="21" l="1"/>
  <c r="F30" i="30"/>
  <c r="C16" i="30"/>
  <c r="G17" i="30"/>
  <c r="I17" i="30" s="1"/>
  <c r="B18" i="30"/>
  <c r="E30" i="30"/>
  <c r="Y27" i="28"/>
  <c r="X27" i="28"/>
  <c r="W27" i="28"/>
  <c r="Y26" i="28"/>
  <c r="X26" i="28"/>
  <c r="W26" i="28"/>
  <c r="Y25" i="28"/>
  <c r="X25" i="28"/>
  <c r="X24" i="28" s="1"/>
  <c r="W25" i="28"/>
  <c r="E22" i="28"/>
  <c r="E23" i="28" s="1"/>
  <c r="G21" i="28"/>
  <c r="H21" i="28" s="1"/>
  <c r="I21" i="28" s="1"/>
  <c r="J21" i="28" s="1"/>
  <c r="K21" i="28" s="1"/>
  <c r="L21" i="28" s="1"/>
  <c r="M21" i="28" s="1"/>
  <c r="G20" i="28"/>
  <c r="H20" i="28" s="1"/>
  <c r="I20" i="28" s="1"/>
  <c r="J20" i="28" s="1"/>
  <c r="K20" i="28" s="1"/>
  <c r="L20" i="28" s="1"/>
  <c r="M20" i="28" s="1"/>
  <c r="W24" i="28" l="1"/>
  <c r="Y24" i="28"/>
  <c r="U24" i="28"/>
  <c r="F31" i="30"/>
  <c r="E31" i="30"/>
  <c r="G18" i="30"/>
  <c r="I18" i="30" s="1"/>
  <c r="C17" i="30"/>
  <c r="B19" i="30"/>
  <c r="F32" i="30"/>
  <c r="N20" i="28"/>
  <c r="N21" i="28"/>
  <c r="G19" i="30" l="1"/>
  <c r="I19" i="30" s="1"/>
  <c r="C18" i="30"/>
  <c r="B20" i="30"/>
  <c r="E32" i="30"/>
  <c r="O21" i="28"/>
  <c r="O20" i="28"/>
  <c r="C19" i="30" l="1"/>
  <c r="G20" i="30"/>
  <c r="I20" i="30" s="1"/>
  <c r="B21" i="30"/>
  <c r="E33" i="30"/>
  <c r="F33" i="30"/>
  <c r="P21" i="28"/>
  <c r="P20" i="28"/>
  <c r="F34" i="30" l="1"/>
  <c r="B22" i="30"/>
  <c r="C20" i="30"/>
  <c r="G21" i="30"/>
  <c r="E34" i="30"/>
  <c r="Q20" i="28"/>
  <c r="Q21" i="28"/>
  <c r="F35" i="30" l="1"/>
  <c r="G22" i="30"/>
  <c r="I22" i="30" s="1"/>
  <c r="C21" i="30"/>
  <c r="B23" i="30"/>
  <c r="E35" i="30"/>
  <c r="I21" i="30"/>
  <c r="R21" i="28"/>
  <c r="R20" i="28"/>
  <c r="C22" i="30" l="1"/>
  <c r="B24" i="30"/>
  <c r="G23" i="30"/>
  <c r="E36" i="30"/>
  <c r="F36" i="30"/>
  <c r="S21" i="28"/>
  <c r="T21" i="28" s="1"/>
  <c r="U21" i="28" s="1"/>
  <c r="V21" i="28" s="1"/>
  <c r="W21" i="28" s="1"/>
  <c r="X21" i="28" s="1"/>
  <c r="Y21" i="28" s="1"/>
  <c r="S20" i="28"/>
  <c r="T20" i="28" s="1"/>
  <c r="U20" i="28" s="1"/>
  <c r="V20" i="28" s="1"/>
  <c r="W20" i="28" s="1"/>
  <c r="X20" i="28" s="1"/>
  <c r="Y20" i="28" s="1"/>
  <c r="I23" i="30" l="1"/>
  <c r="F37" i="30"/>
  <c r="G24" i="30"/>
  <c r="B25" i="30"/>
  <c r="C23" i="30"/>
  <c r="E37" i="30"/>
  <c r="K37" i="30" s="1"/>
  <c r="O6" i="30" s="1"/>
  <c r="G25" i="30" l="1"/>
  <c r="I25" i="30" s="1"/>
  <c r="C24" i="30"/>
  <c r="B26" i="30"/>
  <c r="I24" i="30"/>
  <c r="E38" i="30"/>
  <c r="F38" i="30"/>
  <c r="E20" i="21"/>
  <c r="F39" i="30" l="1"/>
  <c r="L25" i="30"/>
  <c r="B27" i="30"/>
  <c r="G26" i="30"/>
  <c r="E39" i="30"/>
  <c r="C24" i="15"/>
  <c r="N7" i="30" l="1"/>
  <c r="I26" i="30"/>
  <c r="E40" i="30"/>
  <c r="G27" i="30"/>
  <c r="I27" i="30" s="1"/>
  <c r="B28" i="30"/>
  <c r="C26" i="30"/>
  <c r="F40" i="30"/>
  <c r="F41" i="30" s="1"/>
  <c r="E41" i="30" l="1"/>
  <c r="G28" i="30"/>
  <c r="I28" i="30" s="1"/>
  <c r="C27" i="30"/>
  <c r="B29" i="30"/>
  <c r="E23" i="21" l="1"/>
  <c r="C28" i="30"/>
  <c r="G29" i="30"/>
  <c r="B30" i="30"/>
  <c r="E42" i="30"/>
  <c r="F42" i="30"/>
  <c r="F43" i="30" s="1"/>
  <c r="I29" i="30" l="1"/>
  <c r="B31" i="30"/>
  <c r="C29" i="30"/>
  <c r="G30" i="30"/>
  <c r="I30" i="30" s="1"/>
  <c r="E43" i="30"/>
  <c r="E44" i="30" l="1"/>
  <c r="G31" i="30"/>
  <c r="B32" i="30"/>
  <c r="C30" i="30"/>
  <c r="F44" i="30"/>
  <c r="F45" i="30" s="1"/>
  <c r="I31" i="30" l="1"/>
  <c r="G32" i="30"/>
  <c r="I32" i="30" s="1"/>
  <c r="B33" i="30"/>
  <c r="C31" i="30"/>
  <c r="E45" i="30"/>
  <c r="E46" i="30" l="1"/>
  <c r="F46" i="30"/>
  <c r="F47" i="30" s="1"/>
  <c r="C32" i="30"/>
  <c r="B34" i="30"/>
  <c r="G33" i="30"/>
  <c r="I33" i="30" s="1"/>
  <c r="F35" i="22"/>
  <c r="E47" i="30" l="1"/>
  <c r="B35" i="30"/>
  <c r="C33" i="30"/>
  <c r="G34" i="30"/>
  <c r="I34" i="30" s="1"/>
  <c r="C19" i="1"/>
  <c r="J21" i="18"/>
  <c r="H18" i="21" s="1"/>
  <c r="J22" i="18"/>
  <c r="H19" i="21" s="1"/>
  <c r="G18" i="18"/>
  <c r="G57" i="18" s="1"/>
  <c r="H18" i="18"/>
  <c r="I18" i="18"/>
  <c r="J18" i="18"/>
  <c r="K18" i="18"/>
  <c r="F16" i="21" l="1"/>
  <c r="F64" i="21" s="1"/>
  <c r="I16" i="21"/>
  <c r="H16" i="21"/>
  <c r="G16" i="21"/>
  <c r="G64" i="21" s="1"/>
  <c r="H27" i="28"/>
  <c r="J64" i="21"/>
  <c r="K18" i="21"/>
  <c r="J18" i="21"/>
  <c r="G27" i="28"/>
  <c r="I64" i="21"/>
  <c r="H64" i="21"/>
  <c r="F27" i="28"/>
  <c r="I27" i="28"/>
  <c r="K64" i="21"/>
  <c r="K19" i="21"/>
  <c r="J19" i="21"/>
  <c r="F40" i="7"/>
  <c r="C22" i="28"/>
  <c r="C20" i="1"/>
  <c r="E18" i="21"/>
  <c r="E16" i="21"/>
  <c r="E48" i="30"/>
  <c r="G35" i="30"/>
  <c r="I35" i="30" s="1"/>
  <c r="B36" i="30"/>
  <c r="C34" i="30"/>
  <c r="F48" i="30"/>
  <c r="M7" i="22"/>
  <c r="N7" i="22" s="1"/>
  <c r="O7" i="22" s="1"/>
  <c r="P7" i="22" s="1"/>
  <c r="Q7" i="22" s="1"/>
  <c r="R7" i="22" s="1"/>
  <c r="S7" i="22" s="1"/>
  <c r="L7" i="22"/>
  <c r="F44" i="22"/>
  <c r="C4" i="22"/>
  <c r="C13" i="16"/>
  <c r="B13" i="16"/>
  <c r="F49" i="30" l="1"/>
  <c r="I40" i="7"/>
  <c r="G40" i="7"/>
  <c r="K40" i="7"/>
  <c r="J40" i="7"/>
  <c r="H40" i="7"/>
  <c r="T27" i="28"/>
  <c r="M10" i="7"/>
  <c r="H10" i="7"/>
  <c r="I10" i="7"/>
  <c r="J10" i="7"/>
  <c r="K10" i="7"/>
  <c r="L10" i="7"/>
  <c r="N10" i="7"/>
  <c r="C23" i="28"/>
  <c r="E49" i="30"/>
  <c r="K49" i="30" s="1"/>
  <c r="P6" i="30" s="1"/>
  <c r="G36" i="30"/>
  <c r="I36" i="30" s="1"/>
  <c r="B37" i="30"/>
  <c r="C35" i="30"/>
  <c r="V27" i="28" l="1"/>
  <c r="C36" i="30"/>
  <c r="B38" i="30"/>
  <c r="G37" i="30"/>
  <c r="E50" i="30"/>
  <c r="F50" i="30"/>
  <c r="F51" i="30" s="1"/>
  <c r="D65" i="16"/>
  <c r="E42" i="7"/>
  <c r="I37" i="30" l="1"/>
  <c r="L37" i="30"/>
  <c r="B39" i="30"/>
  <c r="C37" i="30"/>
  <c r="G38" i="30"/>
  <c r="E51" i="30"/>
  <c r="O7" i="30" l="1"/>
  <c r="I38" i="30"/>
  <c r="E52" i="30"/>
  <c r="F52" i="30"/>
  <c r="F53" i="30" s="1"/>
  <c r="G39" i="30"/>
  <c r="I39" i="30" s="1"/>
  <c r="B40" i="30"/>
  <c r="C38" i="30"/>
  <c r="E53" i="30" l="1"/>
  <c r="G40" i="30"/>
  <c r="I40" i="30" s="1"/>
  <c r="B41" i="30"/>
  <c r="C39" i="30"/>
  <c r="E54" i="30" l="1"/>
  <c r="C40" i="30"/>
  <c r="B42" i="30"/>
  <c r="G41" i="30"/>
  <c r="F54" i="30"/>
  <c r="F55" i="30" s="1"/>
  <c r="I41" i="30" l="1"/>
  <c r="E55" i="30"/>
  <c r="F56" i="30" s="1"/>
  <c r="B43" i="30"/>
  <c r="C41" i="30"/>
  <c r="G42" i="30"/>
  <c r="I42" i="30" s="1"/>
  <c r="G43" i="30" l="1"/>
  <c r="I43" i="30" s="1"/>
  <c r="B44" i="30"/>
  <c r="C42" i="30"/>
  <c r="E56" i="30"/>
  <c r="E57" i="30" l="1"/>
  <c r="F57" i="30"/>
  <c r="F58" i="30" s="1"/>
  <c r="G44" i="30"/>
  <c r="I44" i="30" s="1"/>
  <c r="B45" i="30"/>
  <c r="C43" i="30"/>
  <c r="C44" i="30" l="1"/>
  <c r="B46" i="30"/>
  <c r="G45" i="30"/>
  <c r="I45" i="30" s="1"/>
  <c r="E58" i="30"/>
  <c r="F59" i="30"/>
  <c r="B47" i="30" l="1"/>
  <c r="C45" i="30"/>
  <c r="G46" i="30"/>
  <c r="I46" i="30" s="1"/>
  <c r="E59" i="30"/>
  <c r="F60" i="30"/>
  <c r="E60" i="30" l="1"/>
  <c r="B48" i="30"/>
  <c r="G47" i="30"/>
  <c r="I47" i="30" s="1"/>
  <c r="C46" i="30"/>
  <c r="E61" i="30" l="1"/>
  <c r="K61" i="30" s="1"/>
  <c r="Q6" i="30" s="1"/>
  <c r="F61" i="30"/>
  <c r="G48" i="30"/>
  <c r="I48" i="30" s="1"/>
  <c r="C47" i="30"/>
  <c r="B49" i="30"/>
  <c r="G25" i="18" l="1"/>
  <c r="F62" i="30"/>
  <c r="C48" i="30"/>
  <c r="B50" i="30"/>
  <c r="G49" i="30"/>
  <c r="E62" i="30"/>
  <c r="I49" i="30" l="1"/>
  <c r="L49" i="30"/>
  <c r="E63" i="30"/>
  <c r="B51" i="30"/>
  <c r="C49" i="30"/>
  <c r="G50" i="30"/>
  <c r="F63" i="30"/>
  <c r="I50" i="30" l="1"/>
  <c r="P7" i="30"/>
  <c r="E64" i="30"/>
  <c r="G51" i="30"/>
  <c r="I51" i="30" s="1"/>
  <c r="B52" i="30"/>
  <c r="C50" i="30"/>
  <c r="F64" i="30"/>
  <c r="F65" i="30" s="1"/>
  <c r="E65" i="30" l="1"/>
  <c r="G52" i="30"/>
  <c r="I52" i="30" s="1"/>
  <c r="B53" i="30"/>
  <c r="C51" i="30"/>
  <c r="E66" i="30" l="1"/>
  <c r="G53" i="30"/>
  <c r="C52" i="30"/>
  <c r="B54" i="30"/>
  <c r="F66" i="30"/>
  <c r="I53" i="30" l="1"/>
  <c r="B55" i="30"/>
  <c r="C53" i="30"/>
  <c r="G54" i="30"/>
  <c r="I54" i="30" s="1"/>
  <c r="E67" i="30"/>
  <c r="F67" i="30"/>
  <c r="G55" i="30" l="1"/>
  <c r="C54" i="30"/>
  <c r="B56" i="30"/>
  <c r="E68" i="30"/>
  <c r="F68" i="30"/>
  <c r="F69" i="30" s="1"/>
  <c r="I55" i="30" l="1"/>
  <c r="G56" i="30"/>
  <c r="I56" i="30" s="1"/>
  <c r="C55" i="30"/>
  <c r="B57" i="30"/>
  <c r="E69" i="30"/>
  <c r="E70" i="30" l="1"/>
  <c r="F70" i="30"/>
  <c r="F71" i="30" s="1"/>
  <c r="C56" i="30"/>
  <c r="B58" i="30"/>
  <c r="G57" i="30"/>
  <c r="I57" i="30" s="1"/>
  <c r="B59" i="30" l="1"/>
  <c r="C57" i="30"/>
  <c r="G58" i="30"/>
  <c r="I58" i="30" s="1"/>
  <c r="E71" i="30"/>
  <c r="E72" i="30" l="1"/>
  <c r="G59" i="30"/>
  <c r="I59" i="30" s="1"/>
  <c r="B60" i="30"/>
  <c r="C58" i="30"/>
  <c r="F72" i="30"/>
  <c r="F73" i="30" s="1"/>
  <c r="E73" i="30" l="1"/>
  <c r="K73" i="30" s="1"/>
  <c r="R6" i="30" s="1"/>
  <c r="B61" i="30"/>
  <c r="G60" i="30"/>
  <c r="I60" i="30" s="1"/>
  <c r="C59" i="30"/>
  <c r="E74" i="30" l="1"/>
  <c r="C60" i="30"/>
  <c r="G61" i="30"/>
  <c r="B62" i="30"/>
  <c r="F74" i="30"/>
  <c r="F75" i="30" s="1"/>
  <c r="I61" i="30" l="1"/>
  <c r="L61" i="30"/>
  <c r="E75" i="30"/>
  <c r="B63" i="30"/>
  <c r="C61" i="30"/>
  <c r="G62" i="30"/>
  <c r="I62" i="30" l="1"/>
  <c r="Q7" i="30"/>
  <c r="G63" i="30"/>
  <c r="I63" i="30" s="1"/>
  <c r="B64" i="30"/>
  <c r="C62" i="30"/>
  <c r="E76" i="30"/>
  <c r="F76" i="30"/>
  <c r="G26" i="18" l="1"/>
  <c r="E77" i="30"/>
  <c r="F77" i="30"/>
  <c r="G64" i="30"/>
  <c r="I64" i="30" s="1"/>
  <c r="C63" i="30"/>
  <c r="B65" i="30"/>
  <c r="C64" i="30" l="1"/>
  <c r="G65" i="30"/>
  <c r="B66" i="30"/>
  <c r="E78" i="30"/>
  <c r="F78" i="30"/>
  <c r="I65" i="30" l="1"/>
  <c r="E79" i="30"/>
  <c r="B67" i="30"/>
  <c r="G66" i="30"/>
  <c r="I66" i="30" s="1"/>
  <c r="C65" i="30"/>
  <c r="F79" i="30"/>
  <c r="F80" i="30" s="1"/>
  <c r="G67" i="30" l="1"/>
  <c r="I67" i="30" s="1"/>
  <c r="C66" i="30"/>
  <c r="B68" i="30"/>
  <c r="E80" i="30"/>
  <c r="F81" i="30" s="1"/>
  <c r="G68" i="30" l="1"/>
  <c r="I68" i="30" s="1"/>
  <c r="C67" i="30"/>
  <c r="B69" i="30"/>
  <c r="E81" i="30"/>
  <c r="C68" i="30" l="1"/>
  <c r="B70" i="30"/>
  <c r="G69" i="30"/>
  <c r="I69" i="30" s="1"/>
  <c r="E82" i="30"/>
  <c r="F82" i="30"/>
  <c r="E83" i="30" l="1"/>
  <c r="F83" i="30"/>
  <c r="F84" i="30" s="1"/>
  <c r="B71" i="30"/>
  <c r="C69" i="30"/>
  <c r="G70" i="30"/>
  <c r="I70" i="30" s="1"/>
  <c r="G71" i="30" l="1"/>
  <c r="I71" i="30" s="1"/>
  <c r="C70" i="30"/>
  <c r="B72" i="30"/>
  <c r="E84" i="30"/>
  <c r="G72" i="30" l="1"/>
  <c r="I72" i="30" s="1"/>
  <c r="C71" i="30"/>
  <c r="B73" i="30"/>
  <c r="E85" i="30"/>
  <c r="K85" i="30" s="1"/>
  <c r="S6" i="30" s="1"/>
  <c r="F85" i="30"/>
  <c r="C72" i="30" l="1"/>
  <c r="B74" i="30"/>
  <c r="G73" i="30"/>
  <c r="F86" i="30"/>
  <c r="E86" i="30"/>
  <c r="I73" i="30" l="1"/>
  <c r="L73" i="30"/>
  <c r="F87" i="30"/>
  <c r="B75" i="30"/>
  <c r="C73" i="30"/>
  <c r="G74" i="30"/>
  <c r="E87" i="30"/>
  <c r="I74" i="30" l="1"/>
  <c r="R7" i="30"/>
  <c r="E88" i="30"/>
  <c r="G75" i="30"/>
  <c r="I75" i="30" s="1"/>
  <c r="B76" i="30"/>
  <c r="C74" i="30"/>
  <c r="F88" i="30"/>
  <c r="F89" i="30" s="1"/>
  <c r="B77" i="30" l="1"/>
  <c r="C75" i="30"/>
  <c r="G76" i="30"/>
  <c r="I76" i="30" s="1"/>
  <c r="E89" i="30"/>
  <c r="E90" i="30" l="1"/>
  <c r="C76" i="30"/>
  <c r="B78" i="30"/>
  <c r="G77" i="30"/>
  <c r="F90" i="30"/>
  <c r="F91" i="30" s="1"/>
  <c r="I77" i="30" l="1"/>
  <c r="E91" i="30"/>
  <c r="F92" i="30" s="1"/>
  <c r="B79" i="30"/>
  <c r="G78" i="30"/>
  <c r="I78" i="30" s="1"/>
  <c r="C77" i="30"/>
  <c r="G79" i="30" l="1"/>
  <c r="I79" i="30" s="1"/>
  <c r="B80" i="30"/>
  <c r="C78" i="30"/>
  <c r="E92" i="30"/>
  <c r="B81" i="30" l="1"/>
  <c r="G80" i="30"/>
  <c r="I80" i="30" s="1"/>
  <c r="C79" i="30"/>
  <c r="E93" i="30"/>
  <c r="F93" i="30"/>
  <c r="E94" i="30" l="1"/>
  <c r="F94" i="30"/>
  <c r="C80" i="30"/>
  <c r="G81" i="30"/>
  <c r="I81" i="30" s="1"/>
  <c r="B82" i="30"/>
  <c r="F95" i="30" l="1"/>
  <c r="B83" i="30"/>
  <c r="G82" i="30"/>
  <c r="I82" i="30" s="1"/>
  <c r="C81" i="30"/>
  <c r="E95" i="30"/>
  <c r="E40" i="7"/>
  <c r="G83" i="30" l="1"/>
  <c r="I83" i="30" s="1"/>
  <c r="C82" i="30"/>
  <c r="B84" i="30"/>
  <c r="E96" i="30"/>
  <c r="F96" i="30"/>
  <c r="E97" i="30" l="1"/>
  <c r="K97" i="30" s="1"/>
  <c r="T6" i="30" s="1"/>
  <c r="H25" i="18" s="1"/>
  <c r="G84" i="30"/>
  <c r="I84" i="30" s="1"/>
  <c r="C83" i="30"/>
  <c r="B85" i="30"/>
  <c r="F97" i="30"/>
  <c r="F22" i="21" l="1"/>
  <c r="F98" i="30"/>
  <c r="C84" i="30"/>
  <c r="B86" i="30"/>
  <c r="G85" i="30"/>
  <c r="E98" i="30"/>
  <c r="I85" i="30" l="1"/>
  <c r="L85" i="30"/>
  <c r="S7" i="30" s="1"/>
  <c r="E99" i="30"/>
  <c r="B87" i="30"/>
  <c r="C85" i="30"/>
  <c r="G86" i="30"/>
  <c r="F99" i="30"/>
  <c r="I86" i="30" l="1"/>
  <c r="G87" i="30"/>
  <c r="I87" i="30" s="1"/>
  <c r="C86" i="30"/>
  <c r="B88" i="30"/>
  <c r="F100" i="30"/>
  <c r="E100" i="30"/>
  <c r="F101" i="30" l="1"/>
  <c r="B89" i="30"/>
  <c r="G88" i="30"/>
  <c r="I88" i="30" s="1"/>
  <c r="C87" i="30"/>
  <c r="E101" i="30"/>
  <c r="C88" i="30" l="1"/>
  <c r="B90" i="30"/>
  <c r="G89" i="30"/>
  <c r="E102" i="30"/>
  <c r="F102" i="30"/>
  <c r="I89" i="30" l="1"/>
  <c r="E103" i="30"/>
  <c r="F103" i="30"/>
  <c r="B91" i="30"/>
  <c r="C89" i="30"/>
  <c r="G90" i="30"/>
  <c r="I90" i="30" s="1"/>
  <c r="F104" i="30" l="1"/>
  <c r="G91" i="30"/>
  <c r="I91" i="30" s="1"/>
  <c r="C90" i="30"/>
  <c r="B92" i="30"/>
  <c r="E104" i="30"/>
  <c r="B93" i="30" l="1"/>
  <c r="C91" i="30"/>
  <c r="G92" i="30"/>
  <c r="E105" i="30"/>
  <c r="F105" i="30"/>
  <c r="I92" i="30" l="1"/>
  <c r="E106" i="30"/>
  <c r="F106" i="30"/>
  <c r="F107" i="30" s="1"/>
  <c r="C92" i="30"/>
  <c r="B94" i="30"/>
  <c r="G93" i="30"/>
  <c r="I93" i="30" s="1"/>
  <c r="B95" i="30" l="1"/>
  <c r="G94" i="30"/>
  <c r="I94" i="30" s="1"/>
  <c r="C93" i="30"/>
  <c r="E107" i="30"/>
  <c r="F108" i="30" s="1"/>
  <c r="G95" i="30" l="1"/>
  <c r="I95" i="30" s="1"/>
  <c r="B96" i="30"/>
  <c r="C94" i="30"/>
  <c r="E108" i="30"/>
  <c r="B97" i="30" l="1"/>
  <c r="G96" i="30"/>
  <c r="I96" i="30" s="1"/>
  <c r="C95" i="30"/>
  <c r="E109" i="30"/>
  <c r="K109" i="30" s="1"/>
  <c r="U6" i="30" s="1"/>
  <c r="I25" i="18" s="1"/>
  <c r="F109" i="30"/>
  <c r="F110" i="30" s="1"/>
  <c r="G22" i="21" l="1"/>
  <c r="C96" i="30"/>
  <c r="G97" i="30"/>
  <c r="B98" i="30"/>
  <c r="E110" i="30"/>
  <c r="I97" i="30" l="1"/>
  <c r="L97" i="30"/>
  <c r="T7" i="30" s="1"/>
  <c r="H26" i="18" s="1"/>
  <c r="F23" i="21" s="1"/>
  <c r="F111" i="30"/>
  <c r="E111" i="30"/>
  <c r="F112" i="30" s="1"/>
  <c r="B99" i="30"/>
  <c r="G98" i="30"/>
  <c r="C97" i="30"/>
  <c r="I98" i="30" l="1"/>
  <c r="G99" i="30"/>
  <c r="I99" i="30" s="1"/>
  <c r="B100" i="30"/>
  <c r="C98" i="30"/>
  <c r="E112" i="30"/>
  <c r="G100" i="30" l="1"/>
  <c r="I100" i="30" s="1"/>
  <c r="C99" i="30"/>
  <c r="B101" i="30"/>
  <c r="E113" i="30"/>
  <c r="F113" i="30"/>
  <c r="F114" i="30" s="1"/>
  <c r="C100" i="30" l="1"/>
  <c r="G101" i="30"/>
  <c r="I101" i="30" s="1"/>
  <c r="B102" i="30"/>
  <c r="E114" i="30"/>
  <c r="E115" i="30" l="1"/>
  <c r="F115" i="30"/>
  <c r="B103" i="30"/>
  <c r="C101" i="30"/>
  <c r="G102" i="30"/>
  <c r="I102" i="30" l="1"/>
  <c r="B104" i="30"/>
  <c r="G103" i="30"/>
  <c r="I103" i="30" s="1"/>
  <c r="C102" i="30"/>
  <c r="F116" i="30"/>
  <c r="E116" i="30"/>
  <c r="E117" i="30" l="1"/>
  <c r="F117" i="30"/>
  <c r="F118" i="30" s="1"/>
  <c r="G104" i="30"/>
  <c r="I104" i="30" s="1"/>
  <c r="C103" i="30"/>
  <c r="B105" i="30"/>
  <c r="C104" i="30" l="1"/>
  <c r="G105" i="30"/>
  <c r="I105" i="30" s="1"/>
  <c r="B106" i="30"/>
  <c r="E118" i="30"/>
  <c r="E119" i="30" l="1"/>
  <c r="F119" i="30"/>
  <c r="C105" i="30"/>
  <c r="B107" i="30"/>
  <c r="G106" i="30"/>
  <c r="I106" i="30" s="1"/>
  <c r="F120" i="30" l="1"/>
  <c r="B108" i="30"/>
  <c r="G107" i="30"/>
  <c r="I107" i="30" s="1"/>
  <c r="C106" i="30"/>
  <c r="E120" i="30"/>
  <c r="G108" i="30" l="1"/>
  <c r="I108" i="30" s="1"/>
  <c r="B109" i="30"/>
  <c r="C107" i="30"/>
  <c r="F121" i="30"/>
  <c r="E121" i="30"/>
  <c r="K121" i="30" s="1"/>
  <c r="V6" i="30" s="1"/>
  <c r="J25" i="18" s="1"/>
  <c r="H22" i="21" l="1"/>
  <c r="F122" i="30"/>
  <c r="E122" i="30"/>
  <c r="C108" i="30"/>
  <c r="B110" i="30"/>
  <c r="G109" i="30"/>
  <c r="F123" i="30" l="1"/>
  <c r="I109" i="30"/>
  <c r="L109" i="30"/>
  <c r="U7" i="30" s="1"/>
  <c r="I26" i="18" s="1"/>
  <c r="G23" i="21" s="1"/>
  <c r="E123" i="30"/>
  <c r="F124" i="30" s="1"/>
  <c r="C109" i="30"/>
  <c r="B111" i="30"/>
  <c r="G110" i="30"/>
  <c r="I110" i="30" l="1"/>
  <c r="B112" i="30"/>
  <c r="G111" i="30"/>
  <c r="I111" i="30" s="1"/>
  <c r="C110" i="30"/>
  <c r="E124" i="30"/>
  <c r="E125" i="30" l="1"/>
  <c r="G112" i="30"/>
  <c r="C111" i="30"/>
  <c r="B113" i="30"/>
  <c r="F125" i="30"/>
  <c r="I112" i="30" l="1"/>
  <c r="C112" i="30"/>
  <c r="G113" i="30"/>
  <c r="I113" i="30" s="1"/>
  <c r="B114" i="30"/>
  <c r="E126" i="30"/>
  <c r="F126" i="30"/>
  <c r="C113" i="30" l="1"/>
  <c r="B115" i="30"/>
  <c r="G114" i="30"/>
  <c r="I114" i="30" s="1"/>
  <c r="F127" i="30"/>
  <c r="E127" i="30"/>
  <c r="F128" i="30" l="1"/>
  <c r="B116" i="30"/>
  <c r="G115" i="30"/>
  <c r="C114" i="30"/>
  <c r="E128" i="30"/>
  <c r="I115" i="30" l="1"/>
  <c r="G116" i="30"/>
  <c r="I116" i="30" s="1"/>
  <c r="B117" i="30"/>
  <c r="C115" i="30"/>
  <c r="E129" i="30"/>
  <c r="F129" i="30"/>
  <c r="F130" i="30" l="1"/>
  <c r="C116" i="30"/>
  <c r="B118" i="30"/>
  <c r="G117" i="30"/>
  <c r="I117" i="30" s="1"/>
  <c r="E130" i="30"/>
  <c r="E131" i="30" l="1"/>
  <c r="F131" i="30"/>
  <c r="F132" i="30" s="1"/>
  <c r="C117" i="30"/>
  <c r="G118" i="30"/>
  <c r="I118" i="30" s="1"/>
  <c r="B119" i="30"/>
  <c r="E132" i="30" l="1"/>
  <c r="F133" i="30"/>
  <c r="C118" i="30"/>
  <c r="B120" i="30"/>
  <c r="G119" i="30"/>
  <c r="I119" i="30" s="1"/>
  <c r="B121" i="30" l="1"/>
  <c r="C119" i="30"/>
  <c r="G120" i="30"/>
  <c r="I120" i="30" s="1"/>
  <c r="E133" i="30"/>
  <c r="K133" i="30" s="1"/>
  <c r="W6" i="30" s="1"/>
  <c r="K25" i="18" s="1"/>
  <c r="I22" i="21" s="1"/>
  <c r="G121" i="30" l="1"/>
  <c r="C120" i="30"/>
  <c r="B122" i="30"/>
  <c r="E134" i="30"/>
  <c r="F134" i="30"/>
  <c r="I121" i="30" l="1"/>
  <c r="L121" i="30"/>
  <c r="V7" i="30" s="1"/>
  <c r="J26" i="18" s="1"/>
  <c r="H23" i="21" s="1"/>
  <c r="E135" i="30"/>
  <c r="B123" i="30"/>
  <c r="G122" i="30"/>
  <c r="C121" i="30"/>
  <c r="F135" i="30"/>
  <c r="I122" i="30" l="1"/>
  <c r="E136" i="30"/>
  <c r="C122" i="30"/>
  <c r="B124" i="30"/>
  <c r="G123" i="30"/>
  <c r="I123" i="30" s="1"/>
  <c r="F136" i="30"/>
  <c r="B125" i="30" l="1"/>
  <c r="G124" i="30"/>
  <c r="I124" i="30" s="1"/>
  <c r="C123" i="30"/>
  <c r="F137" i="30"/>
  <c r="E137" i="30"/>
  <c r="F138" i="30" l="1"/>
  <c r="G125" i="30"/>
  <c r="I125" i="30" s="1"/>
  <c r="B126" i="30"/>
  <c r="C124" i="30"/>
  <c r="E138" i="30"/>
  <c r="E139" i="30" l="1"/>
  <c r="F139" i="30"/>
  <c r="F140" i="30" s="1"/>
  <c r="B127" i="30"/>
  <c r="G126" i="30"/>
  <c r="C125" i="30"/>
  <c r="I126" i="30" l="1"/>
  <c r="C126" i="30"/>
  <c r="G127" i="30"/>
  <c r="I127" i="30" s="1"/>
  <c r="B128" i="30"/>
  <c r="E140" i="30"/>
  <c r="B129" i="30" l="1"/>
  <c r="G128" i="30"/>
  <c r="C127" i="30"/>
  <c r="E141" i="30"/>
  <c r="F141" i="30"/>
  <c r="I128" i="30" l="1"/>
  <c r="G129" i="30"/>
  <c r="I129" i="30" s="1"/>
  <c r="B130" i="30"/>
  <c r="C128" i="30"/>
  <c r="E142" i="30"/>
  <c r="F142" i="30"/>
  <c r="F143" i="30" s="1"/>
  <c r="E143" i="30" l="1"/>
  <c r="F144" i="30" s="1"/>
  <c r="G130" i="30"/>
  <c r="I130" i="30" s="1"/>
  <c r="C129" i="30"/>
  <c r="B131" i="30"/>
  <c r="C130" i="30" l="1"/>
  <c r="G131" i="30"/>
  <c r="I131" i="30" s="1"/>
  <c r="B132" i="30"/>
  <c r="E144" i="30"/>
  <c r="B133" i="30" l="1"/>
  <c r="C131" i="30"/>
  <c r="G132" i="30"/>
  <c r="I132" i="30" s="1"/>
  <c r="E145" i="30"/>
  <c r="K145" i="30" s="1"/>
  <c r="X6" i="30" s="1"/>
  <c r="L25" i="18" s="1"/>
  <c r="F145" i="30"/>
  <c r="J22" i="21" l="1"/>
  <c r="G133" i="30"/>
  <c r="C132" i="30"/>
  <c r="B134" i="30"/>
  <c r="E146" i="30"/>
  <c r="F146" i="30"/>
  <c r="I133" i="30" l="1"/>
  <c r="L133" i="30"/>
  <c r="W7" i="30" s="1"/>
  <c r="K26" i="18" s="1"/>
  <c r="I23" i="21" s="1"/>
  <c r="G134" i="30"/>
  <c r="C133" i="30"/>
  <c r="B135" i="30"/>
  <c r="E147" i="30"/>
  <c r="F147" i="30"/>
  <c r="I134" i="30" l="1"/>
  <c r="C134" i="30"/>
  <c r="B136" i="30"/>
  <c r="G135" i="30"/>
  <c r="I135" i="30" s="1"/>
  <c r="F148" i="30"/>
  <c r="E148" i="30"/>
  <c r="F149" i="30" l="1"/>
  <c r="B137" i="30"/>
  <c r="C135" i="30"/>
  <c r="G136" i="30"/>
  <c r="E149" i="30"/>
  <c r="I136" i="30" l="1"/>
  <c r="E150" i="30"/>
  <c r="F150" i="30"/>
  <c r="G137" i="30"/>
  <c r="I137" i="30" s="1"/>
  <c r="C136" i="30"/>
  <c r="B138" i="30"/>
  <c r="E151" i="30" l="1"/>
  <c r="F151" i="30"/>
  <c r="B139" i="30"/>
  <c r="C137" i="30"/>
  <c r="G138" i="30"/>
  <c r="I138" i="30" s="1"/>
  <c r="C138" i="30" l="1"/>
  <c r="B140" i="30"/>
  <c r="G139" i="30"/>
  <c r="E152" i="30"/>
  <c r="F152" i="30"/>
  <c r="F153" i="30" s="1"/>
  <c r="I139" i="30" l="1"/>
  <c r="B141" i="30"/>
  <c r="G140" i="30"/>
  <c r="I140" i="30" s="1"/>
  <c r="C139" i="30"/>
  <c r="E153" i="30"/>
  <c r="F154" i="30" s="1"/>
  <c r="E154" i="30" l="1"/>
  <c r="G141" i="30"/>
  <c r="I141" i="30" s="1"/>
  <c r="B142" i="30"/>
  <c r="C140" i="30"/>
  <c r="E155" i="30" l="1"/>
  <c r="B143" i="30"/>
  <c r="G142" i="30"/>
  <c r="I142" i="30" s="1"/>
  <c r="C141" i="30"/>
  <c r="F155" i="30"/>
  <c r="F156" i="30" s="1"/>
  <c r="C142" i="30" l="1"/>
  <c r="G143" i="30"/>
  <c r="I143" i="30" s="1"/>
  <c r="B144" i="30"/>
  <c r="E156" i="30"/>
  <c r="B145" i="30" l="1"/>
  <c r="G144" i="30"/>
  <c r="I144" i="30" s="1"/>
  <c r="C143" i="30"/>
  <c r="E157" i="30"/>
  <c r="K157" i="30" s="1"/>
  <c r="Y6" i="30" s="1"/>
  <c r="M25" i="18" s="1"/>
  <c r="F157" i="30"/>
  <c r="K22" i="21" l="1"/>
  <c r="G145" i="30"/>
  <c r="B146" i="30"/>
  <c r="C144" i="30"/>
  <c r="E158" i="30"/>
  <c r="F158" i="30"/>
  <c r="F159" i="30" l="1"/>
  <c r="I145" i="30"/>
  <c r="L145" i="30"/>
  <c r="X7" i="30" s="1"/>
  <c r="L26" i="18" s="1"/>
  <c r="G146" i="30"/>
  <c r="C145" i="30"/>
  <c r="B147" i="30"/>
  <c r="E159" i="30"/>
  <c r="J23" i="21" l="1"/>
  <c r="I146" i="30"/>
  <c r="E160" i="30"/>
  <c r="C146" i="30"/>
  <c r="B148" i="30"/>
  <c r="G147" i="30"/>
  <c r="I147" i="30" s="1"/>
  <c r="F160" i="30"/>
  <c r="F161" i="30" s="1"/>
  <c r="C147" i="30" l="1"/>
  <c r="B149" i="30"/>
  <c r="G148" i="30"/>
  <c r="I148" i="30" s="1"/>
  <c r="E161" i="30"/>
  <c r="B150" i="30" l="1"/>
  <c r="G149" i="30"/>
  <c r="I149" i="30" s="1"/>
  <c r="C148" i="30"/>
  <c r="E162" i="30"/>
  <c r="F162" i="30"/>
  <c r="E163" i="30" l="1"/>
  <c r="G150" i="30"/>
  <c r="C149" i="30"/>
  <c r="B151" i="30"/>
  <c r="F163" i="30"/>
  <c r="F164" i="30" s="1"/>
  <c r="I150" i="30" l="1"/>
  <c r="C150" i="30"/>
  <c r="G151" i="30"/>
  <c r="I151" i="30" s="1"/>
  <c r="B152" i="30"/>
  <c r="E164" i="30"/>
  <c r="F165" i="30" s="1"/>
  <c r="E165" i="30" l="1"/>
  <c r="F166" i="30" s="1"/>
  <c r="C151" i="30"/>
  <c r="B153" i="30"/>
  <c r="G152" i="30"/>
  <c r="I152" i="30" s="1"/>
  <c r="B154" i="30" l="1"/>
  <c r="G153" i="30"/>
  <c r="I153" i="30" s="1"/>
  <c r="C152" i="30"/>
  <c r="E166" i="30"/>
  <c r="K166" i="30" s="1"/>
  <c r="Z6" i="30" l="1"/>
  <c r="K171" i="30"/>
  <c r="G154" i="30"/>
  <c r="I154" i="30" s="1"/>
  <c r="B155" i="30"/>
  <c r="C153" i="30"/>
  <c r="E171" i="30"/>
  <c r="N25" i="18" l="1"/>
  <c r="AD6" i="30"/>
  <c r="C154" i="30"/>
  <c r="B156" i="30"/>
  <c r="G155" i="30"/>
  <c r="I155" i="30" s="1"/>
  <c r="L22" i="21" l="1"/>
  <c r="W25" i="18"/>
  <c r="P62" i="21"/>
  <c r="C155" i="30"/>
  <c r="B157" i="30"/>
  <c r="G156" i="30"/>
  <c r="I156" i="30" s="1"/>
  <c r="Q62" i="21" l="1"/>
  <c r="B158" i="30"/>
  <c r="G157" i="30"/>
  <c r="C156" i="30"/>
  <c r="I157" i="30" l="1"/>
  <c r="L157" i="30"/>
  <c r="Y7" i="30" s="1"/>
  <c r="M26" i="18" s="1"/>
  <c r="G158" i="30"/>
  <c r="C157" i="30"/>
  <c r="B159" i="30"/>
  <c r="K23" i="21" l="1"/>
  <c r="I158" i="30"/>
  <c r="C158" i="30"/>
  <c r="G159" i="30"/>
  <c r="I159" i="30" s="1"/>
  <c r="B160" i="30"/>
  <c r="C159" i="30" l="1"/>
  <c r="B161" i="30"/>
  <c r="G160" i="30"/>
  <c r="I160" i="30" s="1"/>
  <c r="B162" i="30" l="1"/>
  <c r="G161" i="30"/>
  <c r="C160" i="30"/>
  <c r="I161" i="30" l="1"/>
  <c r="G162" i="30"/>
  <c r="I162" i="30" s="1"/>
  <c r="B163" i="30"/>
  <c r="C161" i="30"/>
  <c r="C162" i="30" l="1"/>
  <c r="B164" i="30"/>
  <c r="G163" i="30"/>
  <c r="I163" i="30" s="1"/>
  <c r="C163" i="30" l="1"/>
  <c r="B165" i="30"/>
  <c r="G164" i="30"/>
  <c r="I164" i="30" l="1"/>
  <c r="B166" i="30"/>
  <c r="G165" i="30"/>
  <c r="I165" i="30" s="1"/>
  <c r="C164" i="30"/>
  <c r="G166" i="30" l="1"/>
  <c r="C165" i="30"/>
  <c r="G171" i="30" l="1"/>
  <c r="L166" i="30"/>
  <c r="I166" i="30"/>
  <c r="I171" i="30" s="1"/>
  <c r="Z7" i="30" l="1"/>
  <c r="L171" i="30"/>
  <c r="N26" i="18" l="1"/>
  <c r="AD7" i="30"/>
  <c r="L23" i="21" l="1"/>
  <c r="P63" i="21"/>
  <c r="Q63" i="21" l="1"/>
  <c r="Q61" i="21" s="1"/>
  <c r="D38" i="28" l="1"/>
  <c r="P24" i="28" l="1"/>
  <c r="Q24" i="28" l="1"/>
  <c r="R24" i="28" l="1"/>
  <c r="S24" i="28" l="1"/>
  <c r="T8" i="7"/>
  <c r="T33" i="7" s="1"/>
  <c r="T9" i="7"/>
  <c r="T34" i="7" s="1"/>
  <c r="T10" i="7"/>
  <c r="T35" i="7" s="1"/>
  <c r="P33" i="7"/>
  <c r="M35" i="7" l="1"/>
  <c r="I35" i="7"/>
  <c r="R35" i="7"/>
  <c r="Q35" i="7"/>
  <c r="R34" i="7"/>
  <c r="S8" i="7"/>
  <c r="S33" i="7" s="1"/>
  <c r="O35" i="7"/>
  <c r="K35" i="7"/>
  <c r="G35" i="7"/>
  <c r="S10" i="7"/>
  <c r="S35" i="7" s="1"/>
  <c r="P34" i="7"/>
  <c r="Q33" i="7"/>
  <c r="S9" i="7"/>
  <c r="S34" i="7" s="1"/>
  <c r="P35" i="7"/>
  <c r="Q34" i="7"/>
  <c r="R33" i="7"/>
  <c r="N35" i="7"/>
  <c r="J35" i="7"/>
  <c r="F10" i="7"/>
  <c r="F35" i="7" s="1"/>
  <c r="E10" i="7"/>
  <c r="E35" i="7" s="1"/>
  <c r="L35" i="7"/>
  <c r="H35" i="7"/>
  <c r="D22" i="28" l="1"/>
  <c r="F22" i="28" s="1"/>
  <c r="X22" i="28" l="1"/>
  <c r="D23" i="28"/>
  <c r="N22" i="28"/>
  <c r="W22" i="28"/>
  <c r="O22" i="28"/>
  <c r="E36" i="28" s="1"/>
  <c r="E42" i="28" s="1"/>
  <c r="S22" i="28"/>
  <c r="T22" i="28"/>
  <c r="Y22" i="28"/>
  <c r="P22" i="28"/>
  <c r="F36" i="28" s="1"/>
  <c r="F42" i="28" s="1"/>
  <c r="V22" i="28"/>
  <c r="V23" i="28" s="1"/>
  <c r="U22" i="28"/>
  <c r="R22" i="28"/>
  <c r="Q22" i="28"/>
  <c r="G36" i="28" s="1"/>
  <c r="G42" i="28" s="1"/>
  <c r="B14" i="15"/>
  <c r="Q23" i="28" l="1"/>
  <c r="G37" i="28" s="1"/>
  <c r="Q28" i="28"/>
  <c r="P23" i="28"/>
  <c r="F37" i="28" s="1"/>
  <c r="P28" i="28"/>
  <c r="S23" i="28"/>
  <c r="S28" i="28"/>
  <c r="R23" i="28"/>
  <c r="R28" i="28"/>
  <c r="Y23" i="28"/>
  <c r="Y28" i="28"/>
  <c r="O23" i="28"/>
  <c r="E37" i="28" s="1"/>
  <c r="X23" i="28"/>
  <c r="X28" i="28"/>
  <c r="U28" i="28"/>
  <c r="U23" i="28"/>
  <c r="W28" i="28"/>
  <c r="W23" i="28"/>
  <c r="T23" i="28"/>
  <c r="D36" i="28"/>
  <c r="D42" i="28" s="1"/>
  <c r="N23" i="28"/>
  <c r="D37" i="28" s="1"/>
  <c r="S66" i="21"/>
  <c r="A16" i="22"/>
  <c r="E15" i="22" s="1"/>
  <c r="G22" i="28" l="1"/>
  <c r="F23" i="28"/>
  <c r="A17" i="22"/>
  <c r="A18" i="22" s="1"/>
  <c r="A19" i="22" s="1"/>
  <c r="A20" i="22" s="1"/>
  <c r="A21" i="22" s="1"/>
  <c r="A22" i="22" s="1"/>
  <c r="A23" i="22" s="1"/>
  <c r="A24" i="22" s="1"/>
  <c r="A25" i="22" s="1"/>
  <c r="A26" i="22" s="1"/>
  <c r="G23" i="28" l="1"/>
  <c r="H22" i="28"/>
  <c r="E16" i="22"/>
  <c r="G16" i="22" s="1"/>
  <c r="H23" i="28" l="1"/>
  <c r="I22" i="28"/>
  <c r="L17" i="15"/>
  <c r="C14" i="15"/>
  <c r="P20" i="21"/>
  <c r="P12" i="21" s="1"/>
  <c r="C36" i="22"/>
  <c r="P64" i="21" l="1"/>
  <c r="P61" i="21" s="1"/>
  <c r="J22" i="28"/>
  <c r="I23" i="28"/>
  <c r="K14" i="16"/>
  <c r="K15" i="16" s="1"/>
  <c r="K16" i="16" s="1"/>
  <c r="K17" i="16" s="1"/>
  <c r="K18" i="16" s="1"/>
  <c r="K19" i="16" s="1"/>
  <c r="K20" i="16" s="1"/>
  <c r="K21" i="16" s="1"/>
  <c r="K22" i="16" s="1"/>
  <c r="K23" i="16" s="1"/>
  <c r="K24" i="16" s="1"/>
  <c r="K25" i="16" s="1"/>
  <c r="K26" i="16" s="1"/>
  <c r="K27" i="16" s="1"/>
  <c r="K28" i="16" s="1"/>
  <c r="K29" i="16" s="1"/>
  <c r="K30" i="16" s="1"/>
  <c r="K31" i="16" s="1"/>
  <c r="K32" i="16" s="1"/>
  <c r="K33" i="16" s="1"/>
  <c r="K34" i="16" s="1"/>
  <c r="K35" i="16" s="1"/>
  <c r="K36" i="16" s="1"/>
  <c r="K37" i="16" s="1"/>
  <c r="K38" i="16" s="1"/>
  <c r="K39" i="16" s="1"/>
  <c r="K40" i="16" s="1"/>
  <c r="K41" i="16" s="1"/>
  <c r="K42" i="16" s="1"/>
  <c r="K43" i="16" s="1"/>
  <c r="K44" i="16" s="1"/>
  <c r="K45" i="16" s="1"/>
  <c r="K46" i="16" s="1"/>
  <c r="K47" i="16" s="1"/>
  <c r="K48" i="16" s="1"/>
  <c r="K49" i="16" s="1"/>
  <c r="K50" i="16" s="1"/>
  <c r="K51" i="16" s="1"/>
  <c r="P8" i="21"/>
  <c r="Q8" i="21" s="1"/>
  <c r="R8" i="21" s="1"/>
  <c r="S8" i="21" s="1"/>
  <c r="G8" i="21"/>
  <c r="H8" i="21" s="1"/>
  <c r="I8" i="21" s="1"/>
  <c r="J8" i="21" s="1"/>
  <c r="K8" i="21" s="1"/>
  <c r="L8" i="21" s="1"/>
  <c r="K22" i="28" l="1"/>
  <c r="J23" i="28"/>
  <c r="P1" i="7"/>
  <c r="T30" i="7"/>
  <c r="U30" i="7"/>
  <c r="N30" i="7"/>
  <c r="O30" i="7"/>
  <c r="P30" i="7"/>
  <c r="Q30" i="7"/>
  <c r="R30" i="7"/>
  <c r="S30" i="7"/>
  <c r="F30" i="7"/>
  <c r="G30" i="7"/>
  <c r="H30" i="7"/>
  <c r="I30" i="7"/>
  <c r="J30" i="7"/>
  <c r="K30" i="7"/>
  <c r="L30" i="7"/>
  <c r="M30" i="7"/>
  <c r="E30" i="7"/>
  <c r="S18" i="7"/>
  <c r="S19" i="7"/>
  <c r="S20" i="7"/>
  <c r="U10" i="7"/>
  <c r="U35" i="7" s="1"/>
  <c r="U15" i="7"/>
  <c r="T15" i="7"/>
  <c r="S15" i="7"/>
  <c r="R15" i="7"/>
  <c r="R12" i="7" s="1"/>
  <c r="Q15" i="7"/>
  <c r="P15" i="7"/>
  <c r="P12" i="7" s="1"/>
  <c r="O15" i="7"/>
  <c r="U14" i="7"/>
  <c r="T14" i="7"/>
  <c r="U13" i="7"/>
  <c r="T13" i="7"/>
  <c r="U20" i="7"/>
  <c r="T20" i="7"/>
  <c r="U19" i="7"/>
  <c r="T19" i="7"/>
  <c r="U18" i="7"/>
  <c r="T18" i="7"/>
  <c r="U25" i="7"/>
  <c r="T25" i="7"/>
  <c r="S25" i="7"/>
  <c r="U24" i="7"/>
  <c r="T24" i="7"/>
  <c r="S24" i="7"/>
  <c r="U23" i="7"/>
  <c r="T23" i="7"/>
  <c r="S23" i="7"/>
  <c r="C44" i="22"/>
  <c r="C45" i="22" s="1"/>
  <c r="B44" i="22"/>
  <c r="B45" i="22"/>
  <c r="A45" i="22"/>
  <c r="D40" i="22"/>
  <c r="C35" i="22"/>
  <c r="D35" i="22"/>
  <c r="B30" i="22"/>
  <c r="G15" i="22"/>
  <c r="D15" i="22"/>
  <c r="B15" i="22"/>
  <c r="C16" i="22" s="1"/>
  <c r="D12" i="22"/>
  <c r="V7" i="22"/>
  <c r="B1" i="22"/>
  <c r="C15" i="15"/>
  <c r="A14" i="15"/>
  <c r="A15" i="15" s="1"/>
  <c r="A16" i="15" s="1"/>
  <c r="A17" i="15" s="1"/>
  <c r="A18" i="15" s="1"/>
  <c r="A19" i="15" s="1"/>
  <c r="A20" i="15" s="1"/>
  <c r="A21" i="15" s="1"/>
  <c r="A22" i="15" s="1"/>
  <c r="A23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F66" i="15" s="1"/>
  <c r="A14" i="16"/>
  <c r="N16" i="21"/>
  <c r="N15" i="21"/>
  <c r="D15" i="21"/>
  <c r="N14" i="21"/>
  <c r="D14" i="21"/>
  <c r="N13" i="21"/>
  <c r="N20" i="21"/>
  <c r="N19" i="21"/>
  <c r="D19" i="21"/>
  <c r="N18" i="21"/>
  <c r="D18" i="21"/>
  <c r="N17" i="21"/>
  <c r="S69" i="21"/>
  <c r="N69" i="21"/>
  <c r="N64" i="21"/>
  <c r="N63" i="21"/>
  <c r="N62" i="21"/>
  <c r="N61" i="21"/>
  <c r="N24" i="21"/>
  <c r="D24" i="21"/>
  <c r="N23" i="21"/>
  <c r="D23" i="21"/>
  <c r="N22" i="21"/>
  <c r="D22" i="21"/>
  <c r="S21" i="21"/>
  <c r="N21" i="21"/>
  <c r="D10" i="21"/>
  <c r="D62" i="21" s="1"/>
  <c r="N12" i="21"/>
  <c r="D12" i="21"/>
  <c r="N11" i="21"/>
  <c r="N10" i="21"/>
  <c r="N9" i="21"/>
  <c r="N4" i="21"/>
  <c r="F15" i="22" l="1"/>
  <c r="D44" i="22"/>
  <c r="L22" i="28"/>
  <c r="M22" i="28" s="1"/>
  <c r="K23" i="28"/>
  <c r="Q22" i="7"/>
  <c r="R22" i="7"/>
  <c r="S22" i="7"/>
  <c r="T12" i="7"/>
  <c r="U22" i="7"/>
  <c r="T17" i="7"/>
  <c r="E23" i="7"/>
  <c r="Q12" i="7"/>
  <c r="U12" i="7"/>
  <c r="S17" i="7"/>
  <c r="N15" i="7"/>
  <c r="K15" i="7"/>
  <c r="D17" i="21"/>
  <c r="M15" i="7"/>
  <c r="P22" i="7"/>
  <c r="T22" i="7"/>
  <c r="O12" i="7"/>
  <c r="S12" i="7"/>
  <c r="L15" i="7"/>
  <c r="D21" i="21"/>
  <c r="C27" i="22"/>
  <c r="D13" i="21"/>
  <c r="M20" i="7"/>
  <c r="K20" i="7"/>
  <c r="I20" i="7"/>
  <c r="G20" i="7"/>
  <c r="E20" i="7"/>
  <c r="D64" i="21"/>
  <c r="A46" i="22"/>
  <c r="A47" i="22" s="1"/>
  <c r="F47" i="22" s="1"/>
  <c r="O20" i="7"/>
  <c r="R20" i="7"/>
  <c r="U17" i="7"/>
  <c r="P20" i="7"/>
  <c r="N20" i="7"/>
  <c r="L20" i="7"/>
  <c r="J20" i="7"/>
  <c r="H20" i="7"/>
  <c r="F20" i="7"/>
  <c r="Q20" i="7"/>
  <c r="F45" i="22"/>
  <c r="D45" i="22" s="1"/>
  <c r="C46" i="22"/>
  <c r="B16" i="22"/>
  <c r="E17" i="22"/>
  <c r="G17" i="22" s="1"/>
  <c r="I44" i="22"/>
  <c r="B46" i="22"/>
  <c r="D11" i="21"/>
  <c r="R21" i="21"/>
  <c r="C7" i="15"/>
  <c r="I4" i="18"/>
  <c r="J4" i="18" s="1"/>
  <c r="K4" i="18" s="1"/>
  <c r="L4" i="18" s="1"/>
  <c r="M4" i="18" s="1"/>
  <c r="N4" i="18" s="1"/>
  <c r="O4" i="18" s="1"/>
  <c r="P4" i="18" s="1"/>
  <c r="Q4" i="18" s="1"/>
  <c r="R4" i="18" s="1"/>
  <c r="S4" i="18" s="1"/>
  <c r="T4" i="18" s="1"/>
  <c r="U4" i="18" s="1"/>
  <c r="B2" i="7"/>
  <c r="B14" i="16"/>
  <c r="F14" i="16"/>
  <c r="F13" i="16"/>
  <c r="L8" i="16"/>
  <c r="L11" i="16" s="1"/>
  <c r="M7" i="16"/>
  <c r="C7" i="16"/>
  <c r="B1" i="16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B1" i="15"/>
  <c r="M23" i="28" l="1"/>
  <c r="L23" i="28"/>
  <c r="C37" i="28" s="1"/>
  <c r="C36" i="28"/>
  <c r="G5" i="7"/>
  <c r="F42" i="7"/>
  <c r="D13" i="16"/>
  <c r="E13" i="16" s="1"/>
  <c r="E45" i="22"/>
  <c r="M45" i="22"/>
  <c r="A48" i="22"/>
  <c r="F48" i="22" s="1"/>
  <c r="F46" i="22"/>
  <c r="D46" i="22" s="1"/>
  <c r="N12" i="7"/>
  <c r="D16" i="22"/>
  <c r="B47" i="22"/>
  <c r="E18" i="22"/>
  <c r="G18" i="22" s="1"/>
  <c r="C47" i="22"/>
  <c r="B17" i="22"/>
  <c r="B18" i="22" s="1"/>
  <c r="B19" i="22" s="1"/>
  <c r="B20" i="22" s="1"/>
  <c r="B21" i="22" s="1"/>
  <c r="B22" i="22" s="1"/>
  <c r="B23" i="22" s="1"/>
  <c r="B24" i="22" s="1"/>
  <c r="B25" i="22" s="1"/>
  <c r="B26" i="22" s="1"/>
  <c r="I13" i="15"/>
  <c r="B15" i="15"/>
  <c r="M8" i="16"/>
  <c r="M11" i="16" s="1"/>
  <c r="A15" i="16"/>
  <c r="F15" i="16" s="1"/>
  <c r="D63" i="21"/>
  <c r="D9" i="21"/>
  <c r="D13" i="15"/>
  <c r="D14" i="15"/>
  <c r="E14" i="15" s="1"/>
  <c r="D15" i="15"/>
  <c r="C16" i="15" l="1"/>
  <c r="H5" i="7"/>
  <c r="G42" i="7"/>
  <c r="E28" i="7"/>
  <c r="A49" i="22"/>
  <c r="F49" i="22" s="1"/>
  <c r="E46" i="22"/>
  <c r="M46" i="22"/>
  <c r="D47" i="22"/>
  <c r="C48" i="22"/>
  <c r="B48" i="22"/>
  <c r="G55" i="22" s="1"/>
  <c r="E19" i="22"/>
  <c r="G19" i="22" s="1"/>
  <c r="D17" i="22"/>
  <c r="F16" i="22"/>
  <c r="B16" i="15"/>
  <c r="B17" i="15" s="1"/>
  <c r="B18" i="15" s="1"/>
  <c r="E15" i="15"/>
  <c r="N8" i="16"/>
  <c r="N11" i="16" s="1"/>
  <c r="A16" i="16"/>
  <c r="C14" i="16"/>
  <c r="D14" i="16" s="1"/>
  <c r="D61" i="21"/>
  <c r="E13" i="15"/>
  <c r="G16" i="15" l="1"/>
  <c r="I5" i="7"/>
  <c r="H42" i="7"/>
  <c r="A50" i="22"/>
  <c r="F50" i="22" s="1"/>
  <c r="F28" i="7"/>
  <c r="E47" i="22"/>
  <c r="M47" i="22"/>
  <c r="B19" i="15"/>
  <c r="C17" i="15"/>
  <c r="C18" i="15" s="1"/>
  <c r="E20" i="22"/>
  <c r="G20" i="22" s="1"/>
  <c r="D48" i="22"/>
  <c r="C49" i="22"/>
  <c r="F17" i="22"/>
  <c r="L17" i="22" s="1"/>
  <c r="D18" i="22"/>
  <c r="B49" i="22"/>
  <c r="D16" i="15"/>
  <c r="H16" i="15" s="1"/>
  <c r="C15" i="16"/>
  <c r="F16" i="16"/>
  <c r="A17" i="16"/>
  <c r="J5" i="7" l="1"/>
  <c r="I42" i="7"/>
  <c r="A51" i="22"/>
  <c r="F51" i="22" s="1"/>
  <c r="B20" i="15"/>
  <c r="G20" i="15" s="1"/>
  <c r="G28" i="7"/>
  <c r="C19" i="15"/>
  <c r="C20" i="15" s="1"/>
  <c r="E48" i="22"/>
  <c r="M48" i="22"/>
  <c r="B50" i="22"/>
  <c r="D19" i="22"/>
  <c r="F18" i="22"/>
  <c r="L18" i="22" s="1"/>
  <c r="D49" i="22"/>
  <c r="C50" i="22"/>
  <c r="E21" i="22"/>
  <c r="G21" i="22" s="1"/>
  <c r="E16" i="15"/>
  <c r="D17" i="15"/>
  <c r="E14" i="16"/>
  <c r="H14" i="16"/>
  <c r="L9" i="16" s="1"/>
  <c r="L12" i="16" s="1"/>
  <c r="B15" i="16"/>
  <c r="C16" i="16" s="1"/>
  <c r="D16" i="16" s="1"/>
  <c r="D15" i="16"/>
  <c r="F17" i="16"/>
  <c r="A18" i="16"/>
  <c r="C21" i="15" l="1"/>
  <c r="K5" i="7"/>
  <c r="J42" i="7"/>
  <c r="A52" i="22"/>
  <c r="F52" i="22" s="1"/>
  <c r="B21" i="15"/>
  <c r="C22" i="15" s="1"/>
  <c r="E49" i="22"/>
  <c r="M49" i="22"/>
  <c r="E29" i="7"/>
  <c r="E27" i="7" s="1"/>
  <c r="A53" i="22"/>
  <c r="D50" i="22"/>
  <c r="C51" i="22"/>
  <c r="B51" i="22"/>
  <c r="E22" i="22"/>
  <c r="G22" i="22" s="1"/>
  <c r="F19" i="22"/>
  <c r="L19" i="22" s="1"/>
  <c r="D20" i="22"/>
  <c r="E17" i="15"/>
  <c r="D18" i="15"/>
  <c r="E18" i="15" s="1"/>
  <c r="E15" i="16"/>
  <c r="H16" i="16"/>
  <c r="M9" i="16" s="1"/>
  <c r="M12" i="16" s="1"/>
  <c r="B16" i="16"/>
  <c r="F18" i="16"/>
  <c r="A19" i="16"/>
  <c r="M50" i="22" l="1"/>
  <c r="L5" i="7"/>
  <c r="K42" i="7"/>
  <c r="B22" i="15"/>
  <c r="B23" i="15" s="1"/>
  <c r="B25" i="15" s="1"/>
  <c r="B26" i="15" s="1"/>
  <c r="B27" i="15" s="1"/>
  <c r="B28" i="15" s="1"/>
  <c r="B29" i="15" s="1"/>
  <c r="E50" i="22"/>
  <c r="F29" i="7"/>
  <c r="F27" i="7" s="1"/>
  <c r="C17" i="16"/>
  <c r="D17" i="16" s="1"/>
  <c r="F53" i="22"/>
  <c r="A54" i="22"/>
  <c r="E23" i="22"/>
  <c r="G23" i="22" s="1"/>
  <c r="D51" i="22"/>
  <c r="C52" i="22"/>
  <c r="D21" i="22"/>
  <c r="D22" i="22" s="1"/>
  <c r="D23" i="22" s="1"/>
  <c r="D24" i="22" s="1"/>
  <c r="D25" i="22" s="1"/>
  <c r="F20" i="22"/>
  <c r="B52" i="22"/>
  <c r="D19" i="15"/>
  <c r="B17" i="16"/>
  <c r="E16" i="16"/>
  <c r="C18" i="16"/>
  <c r="F19" i="16"/>
  <c r="A20" i="16"/>
  <c r="E17" i="16" l="1"/>
  <c r="M5" i="7"/>
  <c r="L42" i="7"/>
  <c r="D26" i="22"/>
  <c r="G24" i="15"/>
  <c r="C23" i="15"/>
  <c r="C25" i="15" s="1"/>
  <c r="E51" i="22"/>
  <c r="M51" i="22"/>
  <c r="L20" i="22"/>
  <c r="J24" i="22"/>
  <c r="B30" i="15"/>
  <c r="B31" i="15" s="1"/>
  <c r="B32" i="15" s="1"/>
  <c r="B33" i="15" s="1"/>
  <c r="B34" i="15" s="1"/>
  <c r="G28" i="15"/>
  <c r="E24" i="22"/>
  <c r="G24" i="22" s="1"/>
  <c r="D52" i="22"/>
  <c r="C53" i="22"/>
  <c r="B53" i="22"/>
  <c r="F21" i="22"/>
  <c r="F54" i="22"/>
  <c r="A55" i="22"/>
  <c r="E19" i="15"/>
  <c r="D20" i="15"/>
  <c r="E20" i="15" s="1"/>
  <c r="B18" i="16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D18" i="16"/>
  <c r="F20" i="16"/>
  <c r="A21" i="16"/>
  <c r="C26" i="15" l="1"/>
  <c r="C27" i="15" s="1"/>
  <c r="D25" i="15"/>
  <c r="N5" i="7"/>
  <c r="M42" i="7"/>
  <c r="L21" i="22"/>
  <c r="E52" i="22"/>
  <c r="M52" i="22"/>
  <c r="G32" i="15"/>
  <c r="C19" i="16"/>
  <c r="C20" i="16" s="1"/>
  <c r="C21" i="16" s="1"/>
  <c r="C22" i="16" s="1"/>
  <c r="B53" i="16"/>
  <c r="C57" i="16" s="1"/>
  <c r="E25" i="22"/>
  <c r="G25" i="22" s="1"/>
  <c r="F25" i="22" s="1"/>
  <c r="F55" i="22"/>
  <c r="A56" i="22"/>
  <c r="D27" i="22"/>
  <c r="F22" i="22"/>
  <c r="L22" i="22" s="1"/>
  <c r="B54" i="22"/>
  <c r="D53" i="22"/>
  <c r="C54" i="22"/>
  <c r="H20" i="15"/>
  <c r="D21" i="15"/>
  <c r="B35" i="15"/>
  <c r="E18" i="16"/>
  <c r="H18" i="16"/>
  <c r="N9" i="16" s="1"/>
  <c r="N12" i="16" s="1"/>
  <c r="F21" i="16"/>
  <c r="A22" i="16"/>
  <c r="D20" i="16"/>
  <c r="E20" i="16" s="1"/>
  <c r="C23" i="16" l="1"/>
  <c r="C24" i="16" s="1"/>
  <c r="C25" i="16" s="1"/>
  <c r="C26" i="16" s="1"/>
  <c r="P8" i="15"/>
  <c r="C29" i="15"/>
  <c r="C30" i="15" s="1"/>
  <c r="C31" i="15" s="1"/>
  <c r="C32" i="15" s="1"/>
  <c r="C28" i="15"/>
  <c r="O5" i="7"/>
  <c r="N42" i="7"/>
  <c r="D21" i="16"/>
  <c r="D19" i="16"/>
  <c r="E19" i="16" s="1"/>
  <c r="E53" i="22"/>
  <c r="M53" i="22"/>
  <c r="G29" i="7"/>
  <c r="G27" i="7" s="1"/>
  <c r="B55" i="22"/>
  <c r="F23" i="22"/>
  <c r="L23" i="22" s="1"/>
  <c r="D54" i="22"/>
  <c r="C55" i="22"/>
  <c r="E26" i="22"/>
  <c r="G26" i="22" s="1"/>
  <c r="F56" i="22"/>
  <c r="A57" i="22"/>
  <c r="E21" i="15"/>
  <c r="B36" i="15"/>
  <c r="G36" i="15" s="1"/>
  <c r="D22" i="15"/>
  <c r="E22" i="15" s="1"/>
  <c r="E21" i="16"/>
  <c r="F22" i="16"/>
  <c r="A23" i="16"/>
  <c r="C27" i="16" l="1"/>
  <c r="C28" i="16" s="1"/>
  <c r="C29" i="16" s="1"/>
  <c r="C30" i="16" s="1"/>
  <c r="C31" i="16" s="1"/>
  <c r="C32" i="16" s="1"/>
  <c r="C33" i="16" s="1"/>
  <c r="C34" i="16" s="1"/>
  <c r="C35" i="16" s="1"/>
  <c r="C36" i="16" s="1"/>
  <c r="C37" i="16" s="1"/>
  <c r="C38" i="16" s="1"/>
  <c r="C39" i="16" s="1"/>
  <c r="C40" i="16" s="1"/>
  <c r="C41" i="16" s="1"/>
  <c r="C42" i="16" s="1"/>
  <c r="C43" i="16" s="1"/>
  <c r="C44" i="16" s="1"/>
  <c r="C45" i="16" s="1"/>
  <c r="C46" i="16" s="1"/>
  <c r="C47" i="16" s="1"/>
  <c r="C33" i="15"/>
  <c r="C34" i="15" s="1"/>
  <c r="C35" i="15" s="1"/>
  <c r="C36" i="15" s="1"/>
  <c r="C37" i="15" s="1"/>
  <c r="H20" i="16"/>
  <c r="P5" i="7"/>
  <c r="O42" i="7"/>
  <c r="E54" i="22"/>
  <c r="M54" i="22"/>
  <c r="F24" i="22"/>
  <c r="L24" i="22" s="1"/>
  <c r="B56" i="22"/>
  <c r="F57" i="22"/>
  <c r="A58" i="22"/>
  <c r="D55" i="22"/>
  <c r="C56" i="22"/>
  <c r="D23" i="15"/>
  <c r="E23" i="15" s="1"/>
  <c r="B37" i="15"/>
  <c r="D22" i="16"/>
  <c r="H22" i="16" s="1"/>
  <c r="P9" i="16" s="1"/>
  <c r="P12" i="16" s="1"/>
  <c r="O9" i="16"/>
  <c r="O12" i="16" s="1"/>
  <c r="F23" i="16"/>
  <c r="A24" i="16"/>
  <c r="M55" i="22" l="1"/>
  <c r="Q5" i="7"/>
  <c r="P42" i="7"/>
  <c r="M44" i="22"/>
  <c r="H55" i="22"/>
  <c r="E44" i="22"/>
  <c r="D56" i="22"/>
  <c r="C57" i="22"/>
  <c r="F58" i="22"/>
  <c r="A59" i="22"/>
  <c r="B57" i="22"/>
  <c r="F26" i="22"/>
  <c r="L25" i="22"/>
  <c r="E55" i="22"/>
  <c r="C38" i="15"/>
  <c r="B38" i="15"/>
  <c r="B39" i="15" s="1"/>
  <c r="D24" i="15"/>
  <c r="H24" i="15" s="1"/>
  <c r="F24" i="16"/>
  <c r="D24" i="16" s="1"/>
  <c r="E24" i="16" s="1"/>
  <c r="A25" i="16"/>
  <c r="D23" i="16"/>
  <c r="E22" i="16"/>
  <c r="R5" i="7" l="1"/>
  <c r="Q42" i="7"/>
  <c r="H29" i="7"/>
  <c r="I29" i="7"/>
  <c r="E56" i="22"/>
  <c r="M56" i="22"/>
  <c r="L26" i="22"/>
  <c r="F27" i="22"/>
  <c r="J26" i="22"/>
  <c r="H24" i="16"/>
  <c r="Q9" i="16" s="1"/>
  <c r="Q12" i="16" s="1"/>
  <c r="F59" i="22"/>
  <c r="A60" i="22"/>
  <c r="D57" i="22"/>
  <c r="C58" i="22"/>
  <c r="B58" i="22"/>
  <c r="C39" i="15"/>
  <c r="C40" i="15" s="1"/>
  <c r="B40" i="15"/>
  <c r="B41" i="15" s="1"/>
  <c r="E24" i="15"/>
  <c r="E23" i="16"/>
  <c r="F25" i="16"/>
  <c r="D25" i="16" s="1"/>
  <c r="A26" i="16"/>
  <c r="S5" i="7" l="1"/>
  <c r="R42" i="7"/>
  <c r="E57" i="22"/>
  <c r="M57" i="22"/>
  <c r="G40" i="15"/>
  <c r="B42" i="15"/>
  <c r="B43" i="15" s="1"/>
  <c r="B44" i="15" s="1"/>
  <c r="B45" i="15" s="1"/>
  <c r="D58" i="22"/>
  <c r="C59" i="22"/>
  <c r="B59" i="22"/>
  <c r="F60" i="22"/>
  <c r="A61" i="22"/>
  <c r="C41" i="15"/>
  <c r="D26" i="15"/>
  <c r="E26" i="15" s="1"/>
  <c r="E25" i="15"/>
  <c r="E25" i="16"/>
  <c r="F26" i="16"/>
  <c r="A27" i="16"/>
  <c r="C42" i="15" l="1"/>
  <c r="C43" i="15" s="1"/>
  <c r="C44" i="15" s="1"/>
  <c r="C45" i="15" s="1"/>
  <c r="C46" i="15" s="1"/>
  <c r="T5" i="7"/>
  <c r="U5" i="7" s="1"/>
  <c r="S42" i="7"/>
  <c r="J29" i="7"/>
  <c r="E58" i="22"/>
  <c r="M58" i="22"/>
  <c r="B46" i="15"/>
  <c r="B47" i="15" s="1"/>
  <c r="G44" i="15"/>
  <c r="F61" i="22"/>
  <c r="A62" i="22"/>
  <c r="B60" i="22"/>
  <c r="D59" i="22"/>
  <c r="M59" i="22" s="1"/>
  <c r="C60" i="22"/>
  <c r="D27" i="15"/>
  <c r="F27" i="16"/>
  <c r="A28" i="16"/>
  <c r="D26" i="16"/>
  <c r="H26" i="16" s="1"/>
  <c r="C47" i="15" l="1"/>
  <c r="C48" i="15" s="1"/>
  <c r="D60" i="22"/>
  <c r="C61" i="22"/>
  <c r="B61" i="22"/>
  <c r="G61" i="22" s="1"/>
  <c r="K8" i="22" s="1"/>
  <c r="E59" i="22"/>
  <c r="F62" i="22"/>
  <c r="A63" i="22"/>
  <c r="B48" i="15"/>
  <c r="D28" i="15"/>
  <c r="E28" i="15" s="1"/>
  <c r="E27" i="15"/>
  <c r="F28" i="16"/>
  <c r="D28" i="16" s="1"/>
  <c r="E28" i="16" s="1"/>
  <c r="A29" i="16"/>
  <c r="D27" i="16"/>
  <c r="H28" i="16" s="1"/>
  <c r="S9" i="16" s="1"/>
  <c r="S12" i="16" s="1"/>
  <c r="E26" i="16"/>
  <c r="R9" i="16"/>
  <c r="R12" i="16" s="1"/>
  <c r="E60" i="22" l="1"/>
  <c r="M60" i="22"/>
  <c r="B49" i="15"/>
  <c r="B50" i="15" s="1"/>
  <c r="G48" i="15"/>
  <c r="F63" i="22"/>
  <c r="A64" i="22"/>
  <c r="D61" i="22"/>
  <c r="H61" i="22" s="1"/>
  <c r="K9" i="22" s="1"/>
  <c r="C62" i="22"/>
  <c r="D62" i="22" s="1"/>
  <c r="B62" i="22"/>
  <c r="H28" i="15"/>
  <c r="C49" i="15"/>
  <c r="D29" i="15"/>
  <c r="E27" i="16"/>
  <c r="F29" i="16"/>
  <c r="A30" i="16"/>
  <c r="C50" i="15" l="1"/>
  <c r="C51" i="15" s="1"/>
  <c r="M61" i="22"/>
  <c r="E61" i="22"/>
  <c r="C63" i="22"/>
  <c r="B63" i="22"/>
  <c r="F64" i="22"/>
  <c r="A65" i="22"/>
  <c r="B51" i="15"/>
  <c r="B52" i="15" s="1"/>
  <c r="D30" i="15"/>
  <c r="E30" i="15" s="1"/>
  <c r="E29" i="15"/>
  <c r="D29" i="16"/>
  <c r="F30" i="16"/>
  <c r="A31" i="16"/>
  <c r="M62" i="22" l="1"/>
  <c r="E62" i="22"/>
  <c r="G52" i="15"/>
  <c r="F65" i="22"/>
  <c r="A66" i="22"/>
  <c r="B64" i="22"/>
  <c r="D63" i="22"/>
  <c r="C64" i="22"/>
  <c r="C52" i="15"/>
  <c r="C53" i="15" s="1"/>
  <c r="D31" i="15"/>
  <c r="B53" i="15"/>
  <c r="F31" i="16"/>
  <c r="A32" i="16"/>
  <c r="D30" i="16"/>
  <c r="E30" i="16" s="1"/>
  <c r="E29" i="16"/>
  <c r="E63" i="22" l="1"/>
  <c r="M63" i="22"/>
  <c r="F25" i="7"/>
  <c r="B54" i="15"/>
  <c r="B55" i="15" s="1"/>
  <c r="D64" i="22"/>
  <c r="C65" i="22"/>
  <c r="B65" i="22"/>
  <c r="F66" i="22"/>
  <c r="A67" i="22"/>
  <c r="C54" i="15"/>
  <c r="C55" i="15" s="1"/>
  <c r="C56" i="15" s="1"/>
  <c r="B56" i="15"/>
  <c r="G56" i="15" s="1"/>
  <c r="D32" i="15"/>
  <c r="E32" i="15" s="1"/>
  <c r="E31" i="15"/>
  <c r="F32" i="16"/>
  <c r="A33" i="16"/>
  <c r="D31" i="16"/>
  <c r="E31" i="16" s="1"/>
  <c r="H30" i="16"/>
  <c r="T9" i="16" s="1"/>
  <c r="T12" i="16" s="1"/>
  <c r="C57" i="15" l="1"/>
  <c r="E64" i="22"/>
  <c r="M64" i="22"/>
  <c r="B66" i="22"/>
  <c r="F67" i="22"/>
  <c r="A68" i="22"/>
  <c r="D65" i="22"/>
  <c r="C66" i="22"/>
  <c r="H32" i="15"/>
  <c r="D33" i="15"/>
  <c r="B57" i="15"/>
  <c r="D32" i="16"/>
  <c r="E32" i="16" s="1"/>
  <c r="F33" i="16"/>
  <c r="A34" i="16"/>
  <c r="P9" i="15" l="1"/>
  <c r="E15" i="21"/>
  <c r="E19" i="7"/>
  <c r="E65" i="22"/>
  <c r="M65" i="22"/>
  <c r="C58" i="15"/>
  <c r="D66" i="22"/>
  <c r="C67" i="22"/>
  <c r="B67" i="22"/>
  <c r="F68" i="22"/>
  <c r="A69" i="22"/>
  <c r="B58" i="15"/>
  <c r="B59" i="15" s="1"/>
  <c r="D34" i="15"/>
  <c r="E34" i="15" s="1"/>
  <c r="E33" i="15"/>
  <c r="H32" i="16"/>
  <c r="U9" i="16" s="1"/>
  <c r="U12" i="16" s="1"/>
  <c r="D33" i="16"/>
  <c r="E33" i="16" s="1"/>
  <c r="F34" i="16"/>
  <c r="A35" i="16"/>
  <c r="E66" i="22" l="1"/>
  <c r="M66" i="22"/>
  <c r="B68" i="22"/>
  <c r="A70" i="22"/>
  <c r="F69" i="22"/>
  <c r="D67" i="22"/>
  <c r="M67" i="22" s="1"/>
  <c r="C68" i="22"/>
  <c r="C59" i="15"/>
  <c r="C60" i="15" s="1"/>
  <c r="D35" i="15"/>
  <c r="E35" i="15" s="1"/>
  <c r="B60" i="15"/>
  <c r="G60" i="15" s="1"/>
  <c r="D34" i="16"/>
  <c r="E34" i="16" s="1"/>
  <c r="F35" i="16"/>
  <c r="A36" i="16"/>
  <c r="D68" i="22" l="1"/>
  <c r="M68" i="22" s="1"/>
  <c r="C69" i="22"/>
  <c r="B69" i="22"/>
  <c r="A71" i="22"/>
  <c r="F70" i="22"/>
  <c r="E67" i="22"/>
  <c r="C61" i="15"/>
  <c r="B61" i="15"/>
  <c r="D36" i="15"/>
  <c r="H36" i="15" s="1"/>
  <c r="H34" i="16"/>
  <c r="V9" i="16" s="1"/>
  <c r="V12" i="16" s="1"/>
  <c r="H12" i="18" s="1"/>
  <c r="D35" i="16"/>
  <c r="E35" i="16" s="1"/>
  <c r="F36" i="16"/>
  <c r="D36" i="16" s="1"/>
  <c r="E36" i="16" s="1"/>
  <c r="A37" i="16"/>
  <c r="F39" i="21" l="1"/>
  <c r="K29" i="7"/>
  <c r="Q9" i="15"/>
  <c r="F19" i="7"/>
  <c r="E68" i="22"/>
  <c r="A72" i="22"/>
  <c r="F71" i="22"/>
  <c r="B70" i="22"/>
  <c r="C70" i="22"/>
  <c r="D69" i="22"/>
  <c r="M69" i="22" s="1"/>
  <c r="C62" i="15"/>
  <c r="D37" i="15"/>
  <c r="B62" i="15"/>
  <c r="B63" i="15" s="1"/>
  <c r="E36" i="15"/>
  <c r="F37" i="16"/>
  <c r="D37" i="16" s="1"/>
  <c r="A38" i="16"/>
  <c r="H36" i="16"/>
  <c r="W9" i="16" s="1"/>
  <c r="W12" i="16" s="1"/>
  <c r="I12" i="18" s="1"/>
  <c r="G39" i="21" l="1"/>
  <c r="L29" i="7"/>
  <c r="C71" i="22"/>
  <c r="D70" i="22"/>
  <c r="B71" i="22"/>
  <c r="E69" i="22"/>
  <c r="A73" i="22"/>
  <c r="F72" i="22"/>
  <c r="C63" i="15"/>
  <c r="C64" i="15" s="1"/>
  <c r="B64" i="15"/>
  <c r="B65" i="15" s="1"/>
  <c r="D38" i="15"/>
  <c r="E38" i="15" s="1"/>
  <c r="E37" i="15"/>
  <c r="E37" i="16"/>
  <c r="F38" i="16"/>
  <c r="A39" i="16"/>
  <c r="G64" i="15" l="1"/>
  <c r="E70" i="22"/>
  <c r="M70" i="22"/>
  <c r="B72" i="22"/>
  <c r="A74" i="22"/>
  <c r="F73" i="22"/>
  <c r="C72" i="22"/>
  <c r="D71" i="22"/>
  <c r="C65" i="15"/>
  <c r="C66" i="15" s="1"/>
  <c r="D39" i="15"/>
  <c r="D38" i="16"/>
  <c r="H38" i="16" s="1"/>
  <c r="X9" i="16" s="1"/>
  <c r="X12" i="16" s="1"/>
  <c r="J12" i="18" s="1"/>
  <c r="F39" i="16"/>
  <c r="A40" i="16"/>
  <c r="B66" i="15" l="1"/>
  <c r="G67" i="15" s="1"/>
  <c r="D66" i="15"/>
  <c r="E66" i="15" s="1"/>
  <c r="H39" i="21"/>
  <c r="M29" i="7"/>
  <c r="R18" i="7"/>
  <c r="E71" i="22"/>
  <c r="M71" i="22"/>
  <c r="C73" i="22"/>
  <c r="D72" i="22"/>
  <c r="A75" i="22"/>
  <c r="F74" i="22"/>
  <c r="B73" i="22"/>
  <c r="G73" i="22" s="1"/>
  <c r="L8" i="22" s="1"/>
  <c r="B67" i="15"/>
  <c r="D40" i="15"/>
  <c r="E40" i="15" s="1"/>
  <c r="E39" i="15"/>
  <c r="E38" i="16"/>
  <c r="D39" i="16"/>
  <c r="E39" i="16" s="1"/>
  <c r="F40" i="16"/>
  <c r="D40" i="16" s="1"/>
  <c r="E40" i="16" s="1"/>
  <c r="A41" i="16"/>
  <c r="Y8" i="15" l="1"/>
  <c r="K16" i="18" s="1"/>
  <c r="I14" i="21" s="1"/>
  <c r="G70" i="15"/>
  <c r="E72" i="22"/>
  <c r="M72" i="22"/>
  <c r="A76" i="22"/>
  <c r="F75" i="22"/>
  <c r="C74" i="22"/>
  <c r="D73" i="22"/>
  <c r="H73" i="22" s="1"/>
  <c r="L9" i="22" s="1"/>
  <c r="B74" i="22"/>
  <c r="H40" i="15"/>
  <c r="D41" i="15"/>
  <c r="F41" i="16"/>
  <c r="A42" i="16"/>
  <c r="H40" i="16"/>
  <c r="Y9" i="16" s="1"/>
  <c r="Y12" i="16" s="1"/>
  <c r="K12" i="18" s="1"/>
  <c r="I39" i="21" l="1"/>
  <c r="N29" i="7"/>
  <c r="R9" i="15"/>
  <c r="E19" i="21"/>
  <c r="G19" i="7"/>
  <c r="M73" i="22"/>
  <c r="E73" i="22"/>
  <c r="A77" i="22"/>
  <c r="F76" i="22"/>
  <c r="C75" i="22"/>
  <c r="D74" i="22"/>
  <c r="B75" i="22"/>
  <c r="E41" i="15"/>
  <c r="D42" i="15"/>
  <c r="E42" i="15" s="1"/>
  <c r="D41" i="16"/>
  <c r="E41" i="16" s="1"/>
  <c r="F42" i="16"/>
  <c r="A43" i="16"/>
  <c r="C76" i="22" l="1"/>
  <c r="M74" i="22"/>
  <c r="E74" i="22"/>
  <c r="A78" i="22"/>
  <c r="F77" i="22"/>
  <c r="D75" i="22"/>
  <c r="B76" i="22"/>
  <c r="D43" i="15"/>
  <c r="E43" i="15" s="1"/>
  <c r="D42" i="16"/>
  <c r="E42" i="16" s="1"/>
  <c r="F43" i="16"/>
  <c r="D43" i="16" s="1"/>
  <c r="A44" i="16"/>
  <c r="E75" i="22" l="1"/>
  <c r="M75" i="22"/>
  <c r="A79" i="22"/>
  <c r="F78" i="22"/>
  <c r="C77" i="22"/>
  <c r="D76" i="22"/>
  <c r="M76" i="22" s="1"/>
  <c r="B77" i="22"/>
  <c r="D44" i="15"/>
  <c r="E44" i="15" s="1"/>
  <c r="H42" i="16"/>
  <c r="Z9" i="16" s="1"/>
  <c r="Z12" i="16" s="1"/>
  <c r="L12" i="18" s="1"/>
  <c r="E43" i="16"/>
  <c r="F44" i="16"/>
  <c r="A45" i="16"/>
  <c r="J39" i="21" l="1"/>
  <c r="O29" i="7"/>
  <c r="E76" i="22"/>
  <c r="S29" i="7"/>
  <c r="C78" i="22"/>
  <c r="D77" i="22"/>
  <c r="A80" i="22"/>
  <c r="F79" i="22"/>
  <c r="B78" i="22"/>
  <c r="H44" i="15"/>
  <c r="D45" i="15"/>
  <c r="D44" i="16"/>
  <c r="H44" i="16" s="1"/>
  <c r="AA9" i="16" s="1"/>
  <c r="AA12" i="16" s="1"/>
  <c r="M12" i="18" s="1"/>
  <c r="F45" i="16"/>
  <c r="A46" i="16"/>
  <c r="K39" i="21" l="1"/>
  <c r="P29" i="7"/>
  <c r="J26" i="28"/>
  <c r="L39" i="7"/>
  <c r="S9" i="15"/>
  <c r="G17" i="18" s="1"/>
  <c r="H19" i="7" s="1"/>
  <c r="E77" i="22"/>
  <c r="M77" i="22"/>
  <c r="T29" i="7"/>
  <c r="C79" i="22"/>
  <c r="D78" i="22"/>
  <c r="A81" i="22"/>
  <c r="F80" i="22"/>
  <c r="B79" i="22"/>
  <c r="E45" i="15"/>
  <c r="D46" i="15"/>
  <c r="E46" i="15" s="1"/>
  <c r="E44" i="16"/>
  <c r="D45" i="16"/>
  <c r="F46" i="16"/>
  <c r="A47" i="16"/>
  <c r="K26" i="28" l="1"/>
  <c r="M39" i="7"/>
  <c r="M78" i="22"/>
  <c r="E45" i="16"/>
  <c r="E78" i="22"/>
  <c r="A82" i="22"/>
  <c r="F81" i="22"/>
  <c r="C80" i="22"/>
  <c r="D79" i="22"/>
  <c r="M79" i="22" s="1"/>
  <c r="B80" i="22"/>
  <c r="D47" i="15"/>
  <c r="D46" i="16"/>
  <c r="E46" i="16" s="1"/>
  <c r="F47" i="16"/>
  <c r="M24" i="7" l="1"/>
  <c r="M9" i="7"/>
  <c r="H46" i="16"/>
  <c r="E79" i="22"/>
  <c r="C81" i="22"/>
  <c r="D80" i="22"/>
  <c r="A83" i="22"/>
  <c r="F82" i="22"/>
  <c r="B81" i="22"/>
  <c r="E21" i="21"/>
  <c r="E47" i="15"/>
  <c r="D48" i="15"/>
  <c r="H48" i="15" s="1"/>
  <c r="AB9" i="16"/>
  <c r="AB12" i="16" s="1"/>
  <c r="N12" i="18" s="1"/>
  <c r="D47" i="16"/>
  <c r="H48" i="16" s="1"/>
  <c r="L39" i="21" l="1"/>
  <c r="L63" i="21" s="1"/>
  <c r="Q29" i="7"/>
  <c r="T9" i="15"/>
  <c r="E80" i="22"/>
  <c r="M80" i="22"/>
  <c r="U29" i="7"/>
  <c r="E47" i="16"/>
  <c r="AC9" i="16"/>
  <c r="AC12" i="16" s="1"/>
  <c r="O12" i="18" s="1"/>
  <c r="A84" i="22"/>
  <c r="F83" i="22"/>
  <c r="C82" i="22"/>
  <c r="D81" i="22"/>
  <c r="B82" i="22"/>
  <c r="E48" i="15"/>
  <c r="D49" i="15"/>
  <c r="F49" i="16"/>
  <c r="O39" i="21" l="1"/>
  <c r="O11" i="21" s="1"/>
  <c r="O63" i="21" s="1"/>
  <c r="R29" i="7"/>
  <c r="L26" i="28"/>
  <c r="N39" i="7"/>
  <c r="N26" i="28"/>
  <c r="I19" i="7"/>
  <c r="E81" i="22"/>
  <c r="M81" i="22"/>
  <c r="C83" i="22"/>
  <c r="D82" i="22"/>
  <c r="A85" i="22"/>
  <c r="F84" i="22"/>
  <c r="B83" i="22"/>
  <c r="E49" i="15"/>
  <c r="D50" i="15"/>
  <c r="E50" i="15" s="1"/>
  <c r="F50" i="16"/>
  <c r="F51" i="16"/>
  <c r="N24" i="7" l="1"/>
  <c r="N9" i="7"/>
  <c r="M26" i="28"/>
  <c r="O39" i="7"/>
  <c r="O26" i="28"/>
  <c r="E82" i="22"/>
  <c r="M82" i="22"/>
  <c r="A86" i="22"/>
  <c r="F85" i="22"/>
  <c r="C84" i="22"/>
  <c r="D83" i="22"/>
  <c r="B84" i="22"/>
  <c r="D51" i="15"/>
  <c r="E51" i="15" s="1"/>
  <c r="O24" i="7" l="1"/>
  <c r="O9" i="7"/>
  <c r="O34" i="7" s="1"/>
  <c r="E83" i="22"/>
  <c r="M83" i="22"/>
  <c r="H50" i="16"/>
  <c r="A87" i="22"/>
  <c r="F86" i="22"/>
  <c r="C85" i="22"/>
  <c r="D84" i="22"/>
  <c r="B85" i="22"/>
  <c r="G85" i="22" s="1"/>
  <c r="M8" i="22" s="1"/>
  <c r="D52" i="15"/>
  <c r="E52" i="15" s="1"/>
  <c r="E53" i="16"/>
  <c r="H51" i="16"/>
  <c r="D53" i="16"/>
  <c r="C58" i="16" s="1"/>
  <c r="E84" i="22" l="1"/>
  <c r="M84" i="22"/>
  <c r="C86" i="22"/>
  <c r="D85" i="22"/>
  <c r="H85" i="22" s="1"/>
  <c r="M9" i="22" s="1"/>
  <c r="A88" i="22"/>
  <c r="F87" i="22"/>
  <c r="B86" i="22"/>
  <c r="H52" i="15"/>
  <c r="U9" i="15" s="1"/>
  <c r="D53" i="15"/>
  <c r="H53" i="16"/>
  <c r="J19" i="7" l="1"/>
  <c r="M85" i="22"/>
  <c r="E85" i="22"/>
  <c r="A89" i="22"/>
  <c r="F88" i="22"/>
  <c r="C87" i="22"/>
  <c r="D86" i="22"/>
  <c r="B87" i="22"/>
  <c r="E53" i="15"/>
  <c r="D54" i="15"/>
  <c r="E54" i="15" s="1"/>
  <c r="AG9" i="16"/>
  <c r="M86" i="22" l="1"/>
  <c r="E86" i="22"/>
  <c r="A90" i="22"/>
  <c r="F89" i="22"/>
  <c r="C88" i="22"/>
  <c r="D87" i="22"/>
  <c r="B88" i="22"/>
  <c r="D55" i="15"/>
  <c r="E87" i="22" l="1"/>
  <c r="M87" i="22"/>
  <c r="A91" i="22"/>
  <c r="F90" i="22"/>
  <c r="C89" i="22"/>
  <c r="D88" i="22"/>
  <c r="B89" i="22"/>
  <c r="E55" i="15"/>
  <c r="D56" i="15"/>
  <c r="E56" i="15" s="1"/>
  <c r="E25" i="7" l="1"/>
  <c r="E88" i="22"/>
  <c r="M88" i="22"/>
  <c r="H56" i="15"/>
  <c r="V9" i="15" s="1"/>
  <c r="H17" i="18" s="1"/>
  <c r="A92" i="22"/>
  <c r="F91" i="22"/>
  <c r="C90" i="22"/>
  <c r="D89" i="22"/>
  <c r="B90" i="22"/>
  <c r="D57" i="15"/>
  <c r="F15" i="21" l="1"/>
  <c r="K19" i="7"/>
  <c r="E89" i="22"/>
  <c r="M89" i="22"/>
  <c r="O19" i="7"/>
  <c r="A93" i="22"/>
  <c r="F92" i="22"/>
  <c r="C91" i="22"/>
  <c r="D90" i="22"/>
  <c r="B91" i="22"/>
  <c r="E57" i="15"/>
  <c r="D58" i="15"/>
  <c r="E58" i="15" s="1"/>
  <c r="E24" i="7" l="1"/>
  <c r="E22" i="7" s="1"/>
  <c r="E17" i="21"/>
  <c r="E90" i="22"/>
  <c r="M90" i="22"/>
  <c r="A94" i="22"/>
  <c r="F93" i="22"/>
  <c r="C92" i="22"/>
  <c r="D91" i="22"/>
  <c r="B92" i="22"/>
  <c r="D59" i="15"/>
  <c r="M91" i="22" l="1"/>
  <c r="E91" i="22"/>
  <c r="A95" i="22"/>
  <c r="F94" i="22"/>
  <c r="C93" i="22"/>
  <c r="D92" i="22"/>
  <c r="B93" i="22"/>
  <c r="F21" i="21"/>
  <c r="E59" i="15"/>
  <c r="D60" i="15"/>
  <c r="H60" i="15" s="1"/>
  <c r="W9" i="15" s="1"/>
  <c r="I17" i="18" s="1"/>
  <c r="G15" i="21" l="1"/>
  <c r="L19" i="7"/>
  <c r="E92" i="22"/>
  <c r="M92" i="22"/>
  <c r="R15" i="21"/>
  <c r="R11" i="21" s="1"/>
  <c r="P19" i="7"/>
  <c r="B94" i="22"/>
  <c r="C94" i="22"/>
  <c r="D93" i="22"/>
  <c r="A96" i="22"/>
  <c r="F95" i="22"/>
  <c r="E60" i="15"/>
  <c r="D61" i="15"/>
  <c r="R63" i="21" l="1"/>
  <c r="E93" i="22"/>
  <c r="M93" i="22"/>
  <c r="A97" i="22"/>
  <c r="F96" i="22"/>
  <c r="C95" i="22"/>
  <c r="D94" i="22"/>
  <c r="B95" i="22"/>
  <c r="E61" i="15"/>
  <c r="D62" i="15"/>
  <c r="E62" i="15" s="1"/>
  <c r="E94" i="22" l="1"/>
  <c r="M94" i="22"/>
  <c r="A98" i="22"/>
  <c r="F97" i="22"/>
  <c r="C96" i="22"/>
  <c r="D95" i="22"/>
  <c r="B96" i="22"/>
  <c r="D63" i="15"/>
  <c r="E95" i="22" l="1"/>
  <c r="M95" i="22"/>
  <c r="A99" i="22"/>
  <c r="F98" i="22"/>
  <c r="C97" i="22"/>
  <c r="D96" i="22"/>
  <c r="B97" i="22"/>
  <c r="G97" i="22" s="1"/>
  <c r="N8" i="22" s="1"/>
  <c r="E63" i="15"/>
  <c r="D64" i="15"/>
  <c r="E64" i="15" s="1"/>
  <c r="E96" i="22" l="1"/>
  <c r="M96" i="22"/>
  <c r="H64" i="15"/>
  <c r="X9" i="15" s="1"/>
  <c r="J17" i="18" s="1"/>
  <c r="C98" i="22"/>
  <c r="D97" i="22"/>
  <c r="H97" i="22" s="1"/>
  <c r="N9" i="22" s="1"/>
  <c r="A100" i="22"/>
  <c r="F99" i="22"/>
  <c r="B98" i="22"/>
  <c r="D65" i="15"/>
  <c r="H67" i="15" s="1"/>
  <c r="H15" i="21" l="1"/>
  <c r="H26" i="28"/>
  <c r="J63" i="21"/>
  <c r="Y9" i="15"/>
  <c r="AA9" i="15" s="1"/>
  <c r="H70" i="15"/>
  <c r="M19" i="7"/>
  <c r="M97" i="22"/>
  <c r="S15" i="21"/>
  <c r="S11" i="21" s="1"/>
  <c r="E97" i="22"/>
  <c r="Q19" i="7"/>
  <c r="A101" i="22"/>
  <c r="F100" i="22"/>
  <c r="C99" i="22"/>
  <c r="D98" i="22"/>
  <c r="B99" i="22"/>
  <c r="E65" i="15"/>
  <c r="J39" i="7" l="1"/>
  <c r="K17" i="18"/>
  <c r="M34" i="7"/>
  <c r="M98" i="22"/>
  <c r="E98" i="22"/>
  <c r="A102" i="22"/>
  <c r="F101" i="22"/>
  <c r="C100" i="22"/>
  <c r="D99" i="22"/>
  <c r="B100" i="22"/>
  <c r="I15" i="21" l="1"/>
  <c r="I26" i="28"/>
  <c r="N19" i="7"/>
  <c r="K63" i="21"/>
  <c r="C38" i="28"/>
  <c r="N34" i="7"/>
  <c r="E99" i="22"/>
  <c r="M99" i="22"/>
  <c r="R19" i="7"/>
  <c r="A103" i="22"/>
  <c r="F102" i="22"/>
  <c r="C101" i="22"/>
  <c r="D100" i="22"/>
  <c r="B101" i="22"/>
  <c r="C102" i="22" l="1"/>
  <c r="K39" i="7"/>
  <c r="C42" i="28"/>
  <c r="L9" i="7"/>
  <c r="L24" i="7"/>
  <c r="M100" i="22"/>
  <c r="E100" i="22"/>
  <c r="R17" i="7"/>
  <c r="A104" i="22"/>
  <c r="F103" i="22"/>
  <c r="D101" i="22"/>
  <c r="B102" i="22"/>
  <c r="K24" i="7" l="1"/>
  <c r="K9" i="7"/>
  <c r="E101" i="22"/>
  <c r="M101" i="22"/>
  <c r="A105" i="22"/>
  <c r="F104" i="22"/>
  <c r="C103" i="22"/>
  <c r="D102" i="22"/>
  <c r="B103" i="22"/>
  <c r="E67" i="15"/>
  <c r="D67" i="15"/>
  <c r="E102" i="22" l="1"/>
  <c r="M102" i="22"/>
  <c r="C71" i="15"/>
  <c r="C72" i="15"/>
  <c r="A106" i="22"/>
  <c r="F105" i="22"/>
  <c r="C104" i="22"/>
  <c r="D103" i="22"/>
  <c r="B104" i="22"/>
  <c r="M103" i="22" l="1"/>
  <c r="E103" i="22"/>
  <c r="A107" i="22"/>
  <c r="F106" i="22"/>
  <c r="C105" i="22"/>
  <c r="D104" i="22"/>
  <c r="B105" i="22"/>
  <c r="G21" i="21"/>
  <c r="E104" i="22" l="1"/>
  <c r="M104" i="22"/>
  <c r="A108" i="22"/>
  <c r="F107" i="22"/>
  <c r="B106" i="22"/>
  <c r="C106" i="22"/>
  <c r="D105" i="22"/>
  <c r="C22" i="1"/>
  <c r="E21" i="1"/>
  <c r="D21" i="1"/>
  <c r="E105" i="22" l="1"/>
  <c r="M105" i="22"/>
  <c r="E15" i="7"/>
  <c r="C107" i="22"/>
  <c r="D106" i="22"/>
  <c r="A109" i="22"/>
  <c r="F108" i="22"/>
  <c r="B107" i="22"/>
  <c r="E12" i="21"/>
  <c r="E64" i="21" s="1"/>
  <c r="D20" i="1"/>
  <c r="E20" i="1"/>
  <c r="C21" i="1"/>
  <c r="C25" i="1" s="1"/>
  <c r="D25" i="1" l="1"/>
  <c r="F43" i="7"/>
  <c r="E43" i="7" s="1"/>
  <c r="E25" i="1"/>
  <c r="E106" i="22"/>
  <c r="M106" i="22"/>
  <c r="A110" i="22"/>
  <c r="F109" i="22"/>
  <c r="C108" i="22"/>
  <c r="D107" i="22"/>
  <c r="B108" i="22"/>
  <c r="G43" i="7" l="1"/>
  <c r="H43" i="7" s="1"/>
  <c r="I43" i="7" s="1"/>
  <c r="J43" i="7" s="1"/>
  <c r="K43" i="7" s="1"/>
  <c r="E107" i="22"/>
  <c r="M107" i="22"/>
  <c r="C109" i="22"/>
  <c r="D108" i="22"/>
  <c r="A111" i="22"/>
  <c r="F110" i="22"/>
  <c r="B109" i="22"/>
  <c r="G109" i="22" s="1"/>
  <c r="O8" i="22" s="1"/>
  <c r="G21" i="18" s="1"/>
  <c r="E108" i="22" l="1"/>
  <c r="M108" i="22"/>
  <c r="A112" i="22"/>
  <c r="F111" i="22"/>
  <c r="C110" i="22"/>
  <c r="D109" i="22"/>
  <c r="H109" i="22" s="1"/>
  <c r="O9" i="22" s="1"/>
  <c r="G22" i="18" s="1"/>
  <c r="G56" i="18" s="1"/>
  <c r="B110" i="22"/>
  <c r="L43" i="7"/>
  <c r="M109" i="22" l="1"/>
  <c r="E109" i="22"/>
  <c r="C111" i="22"/>
  <c r="D110" i="22"/>
  <c r="A113" i="22"/>
  <c r="F112" i="22"/>
  <c r="B111" i="22"/>
  <c r="M43" i="7"/>
  <c r="M110" i="22" l="1"/>
  <c r="E110" i="22"/>
  <c r="A114" i="22"/>
  <c r="F113" i="22"/>
  <c r="C112" i="22"/>
  <c r="D111" i="22"/>
  <c r="B112" i="22"/>
  <c r="N43" i="7"/>
  <c r="E111" i="22" l="1"/>
  <c r="M111" i="22"/>
  <c r="F15" i="7"/>
  <c r="C113" i="22"/>
  <c r="D112" i="22"/>
  <c r="M112" i="22" s="1"/>
  <c r="A115" i="22"/>
  <c r="F114" i="22"/>
  <c r="B113" i="22"/>
  <c r="O43" i="7"/>
  <c r="E112" i="22" l="1"/>
  <c r="A116" i="22"/>
  <c r="F115" i="22"/>
  <c r="C114" i="22"/>
  <c r="D113" i="22"/>
  <c r="B114" i="22"/>
  <c r="P43" i="7"/>
  <c r="E113" i="22" l="1"/>
  <c r="M113" i="22"/>
  <c r="C115" i="22"/>
  <c r="D114" i="22"/>
  <c r="A117" i="22"/>
  <c r="F116" i="22"/>
  <c r="B115" i="22"/>
  <c r="Q43" i="7"/>
  <c r="E114" i="22" l="1"/>
  <c r="M114" i="22"/>
  <c r="A118" i="22"/>
  <c r="F117" i="22"/>
  <c r="C116" i="22"/>
  <c r="D115" i="22"/>
  <c r="B116" i="22"/>
  <c r="R43" i="7"/>
  <c r="H21" i="21" l="1"/>
  <c r="M115" i="22"/>
  <c r="E115" i="22"/>
  <c r="C117" i="22"/>
  <c r="D116" i="22"/>
  <c r="A119" i="22"/>
  <c r="F118" i="22"/>
  <c r="B117" i="22"/>
  <c r="S43" i="7"/>
  <c r="E116" i="22" l="1"/>
  <c r="M116" i="22"/>
  <c r="A120" i="22"/>
  <c r="F119" i="22"/>
  <c r="C118" i="22"/>
  <c r="D117" i="22"/>
  <c r="B118" i="22"/>
  <c r="T43" i="7"/>
  <c r="E117" i="22" l="1"/>
  <c r="M117" i="22"/>
  <c r="C119" i="22"/>
  <c r="D118" i="22"/>
  <c r="B119" i="22"/>
  <c r="A121" i="22"/>
  <c r="F120" i="22"/>
  <c r="U43" i="7"/>
  <c r="E118" i="22" l="1"/>
  <c r="M118" i="22"/>
  <c r="A122" i="22"/>
  <c r="F121" i="22"/>
  <c r="B120" i="22"/>
  <c r="C120" i="22"/>
  <c r="D119" i="22"/>
  <c r="E119" i="22" l="1"/>
  <c r="M119" i="22"/>
  <c r="A123" i="22"/>
  <c r="F122" i="22"/>
  <c r="C121" i="22"/>
  <c r="D120" i="22"/>
  <c r="B121" i="22"/>
  <c r="G121" i="22" s="1"/>
  <c r="P8" i="22" s="1"/>
  <c r="E120" i="22" l="1"/>
  <c r="M120" i="22"/>
  <c r="A124" i="22"/>
  <c r="F123" i="22"/>
  <c r="C122" i="22"/>
  <c r="D121" i="22"/>
  <c r="H121" i="22" s="1"/>
  <c r="P9" i="22" s="1"/>
  <c r="B122" i="22"/>
  <c r="M121" i="22" l="1"/>
  <c r="E121" i="22"/>
  <c r="A125" i="22"/>
  <c r="F124" i="22"/>
  <c r="C123" i="22"/>
  <c r="D122" i="22"/>
  <c r="B123" i="22"/>
  <c r="F39" i="7" l="1"/>
  <c r="F24" i="7" s="1"/>
  <c r="M122" i="22"/>
  <c r="E122" i="22"/>
  <c r="A126" i="22"/>
  <c r="F125" i="22"/>
  <c r="C124" i="22"/>
  <c r="D123" i="22"/>
  <c r="B124" i="22"/>
  <c r="F9" i="7" l="1"/>
  <c r="E123" i="22"/>
  <c r="M123" i="22"/>
  <c r="C125" i="22"/>
  <c r="D124" i="22"/>
  <c r="A127" i="22"/>
  <c r="F126" i="22"/>
  <c r="B125" i="22"/>
  <c r="M124" i="22" l="1"/>
  <c r="E124" i="22"/>
  <c r="A128" i="22"/>
  <c r="F127" i="22"/>
  <c r="C126" i="22"/>
  <c r="D125" i="22"/>
  <c r="B126" i="22"/>
  <c r="E125" i="22" l="1"/>
  <c r="M125" i="22"/>
  <c r="E12" i="7"/>
  <c r="G15" i="7"/>
  <c r="C127" i="22"/>
  <c r="D126" i="22"/>
  <c r="A129" i="22"/>
  <c r="F128" i="22"/>
  <c r="B127" i="22"/>
  <c r="E126" i="22" l="1"/>
  <c r="M126" i="22"/>
  <c r="A130" i="22"/>
  <c r="F129" i="22"/>
  <c r="C128" i="22"/>
  <c r="D127" i="22"/>
  <c r="B128" i="22"/>
  <c r="M127" i="22" l="1"/>
  <c r="E127" i="22"/>
  <c r="C129" i="22"/>
  <c r="D128" i="22"/>
  <c r="A131" i="22"/>
  <c r="F130" i="22"/>
  <c r="B129" i="22"/>
  <c r="I21" i="21" l="1"/>
  <c r="E128" i="22"/>
  <c r="M128" i="22"/>
  <c r="B130" i="22"/>
  <c r="A132" i="22"/>
  <c r="F131" i="22"/>
  <c r="C130" i="22"/>
  <c r="D129" i="22"/>
  <c r="E129" i="22" l="1"/>
  <c r="M129" i="22"/>
  <c r="C131" i="22"/>
  <c r="D130" i="22"/>
  <c r="A133" i="22"/>
  <c r="F132" i="22"/>
  <c r="B131" i="22"/>
  <c r="E130" i="22" l="1"/>
  <c r="M130" i="22"/>
  <c r="A134" i="22"/>
  <c r="F133" i="22"/>
  <c r="C132" i="22"/>
  <c r="D131" i="22"/>
  <c r="B132" i="22"/>
  <c r="E131" i="22" l="1"/>
  <c r="M131" i="22"/>
  <c r="C133" i="22"/>
  <c r="D132" i="22"/>
  <c r="A135" i="22"/>
  <c r="F134" i="22"/>
  <c r="B133" i="22"/>
  <c r="G133" i="22" s="1"/>
  <c r="Q8" i="22" s="1"/>
  <c r="E132" i="22" l="1"/>
  <c r="M132" i="22"/>
  <c r="A136" i="22"/>
  <c r="F135" i="22"/>
  <c r="C134" i="22"/>
  <c r="D133" i="22"/>
  <c r="H133" i="22" s="1"/>
  <c r="Q9" i="22" s="1"/>
  <c r="B134" i="22"/>
  <c r="M133" i="22" l="1"/>
  <c r="E133" i="22"/>
  <c r="A137" i="22"/>
  <c r="F136" i="22"/>
  <c r="C135" i="22"/>
  <c r="D134" i="22"/>
  <c r="B135" i="22"/>
  <c r="G39" i="7" l="1"/>
  <c r="G24" i="7" s="1"/>
  <c r="M134" i="22"/>
  <c r="E134" i="22"/>
  <c r="A138" i="22"/>
  <c r="F137" i="22"/>
  <c r="C136" i="22"/>
  <c r="D135" i="22"/>
  <c r="B136" i="22"/>
  <c r="G9" i="7" l="1"/>
  <c r="E135" i="22"/>
  <c r="M135" i="22"/>
  <c r="A139" i="22"/>
  <c r="F138" i="22"/>
  <c r="C137" i="22"/>
  <c r="D136" i="22"/>
  <c r="B137" i="22"/>
  <c r="E136" i="22" l="1"/>
  <c r="M136" i="22"/>
  <c r="A140" i="22"/>
  <c r="F139" i="22"/>
  <c r="C138" i="22"/>
  <c r="D137" i="22"/>
  <c r="B138" i="22"/>
  <c r="E137" i="22" l="1"/>
  <c r="M137" i="22"/>
  <c r="A141" i="22"/>
  <c r="F140" i="22"/>
  <c r="C139" i="22"/>
  <c r="D138" i="22"/>
  <c r="B139" i="22"/>
  <c r="E138" i="22" l="1"/>
  <c r="M138" i="22"/>
  <c r="A142" i="22"/>
  <c r="F141" i="22"/>
  <c r="C140" i="22"/>
  <c r="D139" i="22"/>
  <c r="B140" i="22"/>
  <c r="M139" i="22" l="1"/>
  <c r="H15" i="7"/>
  <c r="E139" i="22"/>
  <c r="A143" i="22"/>
  <c r="F142" i="22"/>
  <c r="C141" i="22"/>
  <c r="D140" i="22"/>
  <c r="B141" i="22"/>
  <c r="J21" i="21" l="1"/>
  <c r="E140" i="22"/>
  <c r="M140" i="22"/>
  <c r="B142" i="22"/>
  <c r="C142" i="22"/>
  <c r="D141" i="22"/>
  <c r="A144" i="22"/>
  <c r="F143" i="22"/>
  <c r="E141" i="22" l="1"/>
  <c r="M141" i="22"/>
  <c r="A145" i="22"/>
  <c r="F144" i="22"/>
  <c r="C143" i="22"/>
  <c r="D142" i="22"/>
  <c r="B143" i="22"/>
  <c r="E142" i="22" l="1"/>
  <c r="M142" i="22"/>
  <c r="A146" i="22"/>
  <c r="F145" i="22"/>
  <c r="C144" i="22"/>
  <c r="D143" i="22"/>
  <c r="B144" i="22"/>
  <c r="E143" i="22" l="1"/>
  <c r="M143" i="22"/>
  <c r="A147" i="22"/>
  <c r="F146" i="22"/>
  <c r="C145" i="22"/>
  <c r="D144" i="22"/>
  <c r="B145" i="22"/>
  <c r="G145" i="22" s="1"/>
  <c r="R8" i="22" s="1"/>
  <c r="H21" i="18" s="1"/>
  <c r="F18" i="21" l="1"/>
  <c r="E144" i="22"/>
  <c r="M144" i="22"/>
  <c r="A148" i="22"/>
  <c r="F147" i="22"/>
  <c r="C146" i="22"/>
  <c r="D145" i="22"/>
  <c r="H145" i="22" s="1"/>
  <c r="R9" i="22" s="1"/>
  <c r="H22" i="18" s="1"/>
  <c r="B146" i="22"/>
  <c r="F19" i="21" l="1"/>
  <c r="F63" i="21" s="1"/>
  <c r="F17" i="21"/>
  <c r="M145" i="22"/>
  <c r="E145" i="22"/>
  <c r="C147" i="22"/>
  <c r="D146" i="22"/>
  <c r="A149" i="22"/>
  <c r="F148" i="22"/>
  <c r="B147" i="22"/>
  <c r="H39" i="7" l="1"/>
  <c r="H9" i="7" s="1"/>
  <c r="F26" i="28"/>
  <c r="H63" i="21"/>
  <c r="M146" i="22"/>
  <c r="E146" i="22"/>
  <c r="A150" i="22"/>
  <c r="A151" i="22" s="1"/>
  <c r="F149" i="22"/>
  <c r="C148" i="22"/>
  <c r="D147" i="22"/>
  <c r="B148" i="22"/>
  <c r="H24" i="7" l="1"/>
  <c r="E147" i="22"/>
  <c r="M147" i="22"/>
  <c r="F151" i="22"/>
  <c r="F150" i="22"/>
  <c r="C149" i="22"/>
  <c r="D148" i="22"/>
  <c r="B149" i="22"/>
  <c r="E148" i="22" l="1"/>
  <c r="M148" i="22"/>
  <c r="O20" i="21"/>
  <c r="O12" i="21" s="1"/>
  <c r="C150" i="22"/>
  <c r="D149" i="22"/>
  <c r="B150" i="22"/>
  <c r="B151" i="22" s="1"/>
  <c r="G152" i="22" s="1"/>
  <c r="S8" i="22" s="1"/>
  <c r="I21" i="18" s="1"/>
  <c r="G18" i="21" l="1"/>
  <c r="W21" i="18"/>
  <c r="O64" i="21"/>
  <c r="E149" i="22"/>
  <c r="M149" i="22"/>
  <c r="G155" i="22"/>
  <c r="C151" i="22"/>
  <c r="D151" i="22" s="1"/>
  <c r="D150" i="22"/>
  <c r="B152" i="22"/>
  <c r="C156" i="22" s="1"/>
  <c r="C158" i="22" s="1"/>
  <c r="H152" i="22" l="1"/>
  <c r="S9" i="22" s="1"/>
  <c r="I22" i="18" s="1"/>
  <c r="E151" i="22"/>
  <c r="M151" i="22"/>
  <c r="D152" i="22"/>
  <c r="C157" i="22" s="1"/>
  <c r="E150" i="22"/>
  <c r="M150" i="22"/>
  <c r="G19" i="21" l="1"/>
  <c r="G26" i="28"/>
  <c r="E152" i="22"/>
  <c r="H155" i="22"/>
  <c r="I15" i="7"/>
  <c r="W8" i="22"/>
  <c r="G63" i="21" l="1"/>
  <c r="G17" i="21"/>
  <c r="I63" i="21"/>
  <c r="I39" i="7"/>
  <c r="L34" i="7"/>
  <c r="L21" i="21"/>
  <c r="K34" i="7"/>
  <c r="Q21" i="21"/>
  <c r="W9" i="22"/>
  <c r="I9" i="7" l="1"/>
  <c r="I24" i="7"/>
  <c r="U39" i="7"/>
  <c r="T26" i="28"/>
  <c r="J24" i="7"/>
  <c r="J9" i="7"/>
  <c r="K21" i="21"/>
  <c r="AB21" i="21" l="1"/>
  <c r="J15" i="7" l="1"/>
  <c r="E11" i="21" l="1"/>
  <c r="E63" i="21" s="1"/>
  <c r="E39" i="7" l="1"/>
  <c r="E9" i="7"/>
  <c r="E34" i="7" s="1"/>
  <c r="G12" i="7" l="1"/>
  <c r="F12" i="7"/>
  <c r="H12" i="7" l="1"/>
  <c r="U8" i="7" l="1"/>
  <c r="U33" i="7" s="1"/>
  <c r="I12" i="7"/>
  <c r="J12" i="7" l="1"/>
  <c r="F34" i="7" l="1"/>
  <c r="K12" i="7" l="1"/>
  <c r="G34" i="7" l="1"/>
  <c r="H34" i="7" l="1"/>
  <c r="L12" i="7"/>
  <c r="U9" i="7" l="1"/>
  <c r="U34" i="7" s="1"/>
  <c r="V26" i="28" l="1"/>
  <c r="I34" i="7"/>
  <c r="J34" i="7"/>
  <c r="M12" i="7" l="1"/>
  <c r="O8" i="16" l="1"/>
  <c r="O11" i="16" s="1"/>
  <c r="P8" i="16" l="1"/>
  <c r="H28" i="7"/>
  <c r="S7" i="7"/>
  <c r="R7" i="7"/>
  <c r="U7" i="7"/>
  <c r="N7" i="16"/>
  <c r="O7" i="16" s="1"/>
  <c r="P7" i="16" s="1"/>
  <c r="Q7" i="16" s="1"/>
  <c r="R7" i="16" s="1"/>
  <c r="S7" i="16" s="1"/>
  <c r="T7" i="16" s="1"/>
  <c r="U7" i="16" s="1"/>
  <c r="V7" i="16" s="1"/>
  <c r="W7" i="16" s="1"/>
  <c r="X7" i="16" s="1"/>
  <c r="Y7" i="16" s="1"/>
  <c r="Z7" i="16" s="1"/>
  <c r="AA7" i="16" s="1"/>
  <c r="AB7" i="16" s="1"/>
  <c r="AC7" i="16" s="1"/>
  <c r="I28" i="7" l="1"/>
  <c r="P11" i="16"/>
  <c r="Q8" i="16"/>
  <c r="Q11" i="16" s="1"/>
  <c r="H27" i="7"/>
  <c r="I27" i="7"/>
  <c r="T7" i="7"/>
  <c r="Q7" i="15"/>
  <c r="R7" i="15" s="1"/>
  <c r="S7" i="15" s="1"/>
  <c r="T7" i="15" s="1"/>
  <c r="U7" i="15" s="1"/>
  <c r="V7" i="15" s="1"/>
  <c r="W7" i="15" s="1"/>
  <c r="X7" i="15" s="1"/>
  <c r="Y7" i="15" s="1"/>
  <c r="R8" i="16" l="1"/>
  <c r="R11" i="16" s="1"/>
  <c r="J28" i="7"/>
  <c r="E14" i="21" l="1"/>
  <c r="E10" i="21" s="1"/>
  <c r="E62" i="21" s="1"/>
  <c r="E18" i="7"/>
  <c r="E17" i="7" s="1"/>
  <c r="Q8" i="15"/>
  <c r="S8" i="16"/>
  <c r="S11" i="16" s="1"/>
  <c r="J27" i="7"/>
  <c r="I17" i="21"/>
  <c r="E8" i="7" l="1"/>
  <c r="E38" i="7"/>
  <c r="E37" i="7" s="1"/>
  <c r="E47" i="7" s="1"/>
  <c r="F18" i="7"/>
  <c r="F17" i="7" s="1"/>
  <c r="R8" i="15"/>
  <c r="E13" i="21"/>
  <c r="T8" i="16"/>
  <c r="T11" i="16" s="1"/>
  <c r="U8" i="16"/>
  <c r="H17" i="21"/>
  <c r="V8" i="16" l="1"/>
  <c r="V11" i="16" s="1"/>
  <c r="H11" i="18" s="1"/>
  <c r="U11" i="16"/>
  <c r="S8" i="15"/>
  <c r="G16" i="18" s="1"/>
  <c r="G18" i="7"/>
  <c r="G17" i="7" s="1"/>
  <c r="E61" i="21"/>
  <c r="E9" i="21"/>
  <c r="E33" i="7"/>
  <c r="E32" i="7" s="1"/>
  <c r="E45" i="7" s="1"/>
  <c r="E7" i="7"/>
  <c r="J17" i="21"/>
  <c r="F38" i="21" l="1"/>
  <c r="F37" i="21" s="1"/>
  <c r="K28" i="7"/>
  <c r="K27" i="7" s="1"/>
  <c r="G55" i="18"/>
  <c r="G60" i="18" s="1"/>
  <c r="T8" i="15"/>
  <c r="H18" i="7"/>
  <c r="H17" i="7" s="1"/>
  <c r="W8" i="16"/>
  <c r="W11" i="16" s="1"/>
  <c r="I11" i="18" s="1"/>
  <c r="K17" i="21"/>
  <c r="G38" i="21" l="1"/>
  <c r="G37" i="21" s="1"/>
  <c r="L28" i="7"/>
  <c r="L27" i="7" s="1"/>
  <c r="F38" i="7"/>
  <c r="F37" i="7" s="1"/>
  <c r="I18" i="7"/>
  <c r="I17" i="7" s="1"/>
  <c r="U8" i="15"/>
  <c r="N18" i="7"/>
  <c r="N17" i="7" s="1"/>
  <c r="P13" i="21"/>
  <c r="X8" i="16"/>
  <c r="X11" i="16" s="1"/>
  <c r="J11" i="18" s="1"/>
  <c r="L17" i="21"/>
  <c r="H38" i="21" l="1"/>
  <c r="H37" i="21" s="1"/>
  <c r="M28" i="7"/>
  <c r="M27" i="7" s="1"/>
  <c r="G38" i="7"/>
  <c r="F8" i="7"/>
  <c r="F23" i="7"/>
  <c r="F22" i="7" s="1"/>
  <c r="F47" i="7"/>
  <c r="J18" i="7"/>
  <c r="J17" i="7" s="1"/>
  <c r="V8" i="15"/>
  <c r="H16" i="18" s="1"/>
  <c r="O18" i="7"/>
  <c r="O17" i="7" s="1"/>
  <c r="Y8" i="16"/>
  <c r="Y11" i="16" s="1"/>
  <c r="K11" i="18" s="1"/>
  <c r="O17" i="21"/>
  <c r="H54" i="18" l="1"/>
  <c r="I38" i="21"/>
  <c r="I37" i="21" s="1"/>
  <c r="N28" i="7"/>
  <c r="N27" i="7" s="1"/>
  <c r="F14" i="21"/>
  <c r="F25" i="28"/>
  <c r="F24" i="28" s="1"/>
  <c r="F28" i="28" s="1"/>
  <c r="G23" i="7"/>
  <c r="G22" i="7" s="1"/>
  <c r="G8" i="7"/>
  <c r="G37" i="7"/>
  <c r="G47" i="7" s="1"/>
  <c r="F33" i="7"/>
  <c r="F32" i="7" s="1"/>
  <c r="F45" i="7" s="1"/>
  <c r="F7" i="7"/>
  <c r="Q13" i="21"/>
  <c r="K18" i="7"/>
  <c r="K17" i="7" s="1"/>
  <c r="W8" i="15"/>
  <c r="I16" i="18" s="1"/>
  <c r="Z8" i="16"/>
  <c r="Z11" i="16" s="1"/>
  <c r="L11" i="18" s="1"/>
  <c r="P17" i="21"/>
  <c r="X8" i="15" l="1"/>
  <c r="J16" i="18" s="1"/>
  <c r="I25" i="28"/>
  <c r="K38" i="7"/>
  <c r="K60" i="18"/>
  <c r="K54" i="18"/>
  <c r="J38" i="21"/>
  <c r="J37" i="21" s="1"/>
  <c r="O28" i="7"/>
  <c r="O27" i="7" s="1"/>
  <c r="H60" i="18"/>
  <c r="G14" i="21"/>
  <c r="G25" i="28"/>
  <c r="G24" i="28" s="1"/>
  <c r="G28" i="28" s="1"/>
  <c r="H14" i="21"/>
  <c r="H25" i="28"/>
  <c r="H24" i="28" s="1"/>
  <c r="H28" i="28" s="1"/>
  <c r="W16" i="18"/>
  <c r="H38" i="7"/>
  <c r="H23" i="7" s="1"/>
  <c r="H22" i="7" s="1"/>
  <c r="F13" i="21"/>
  <c r="I62" i="21"/>
  <c r="I61" i="21" s="1"/>
  <c r="I38" i="7"/>
  <c r="I13" i="21"/>
  <c r="G33" i="7"/>
  <c r="G32" i="7" s="1"/>
  <c r="G45" i="7" s="1"/>
  <c r="G7" i="7"/>
  <c r="L18" i="7"/>
  <c r="L17" i="7" s="1"/>
  <c r="M18" i="7"/>
  <c r="M17" i="7" s="1"/>
  <c r="P18" i="7"/>
  <c r="R14" i="21"/>
  <c r="R10" i="21" s="1"/>
  <c r="AA8" i="15"/>
  <c r="AA8" i="16"/>
  <c r="AA11" i="16" s="1"/>
  <c r="M11" i="18" s="1"/>
  <c r="Q17" i="21"/>
  <c r="P9" i="21"/>
  <c r="K38" i="21" l="1"/>
  <c r="P28" i="7"/>
  <c r="P27" i="7" s="1"/>
  <c r="J25" i="28"/>
  <c r="J24" i="28" s="1"/>
  <c r="J28" i="28" s="1"/>
  <c r="L38" i="7"/>
  <c r="L54" i="18"/>
  <c r="L60" i="18"/>
  <c r="J62" i="21"/>
  <c r="J61" i="21" s="1"/>
  <c r="H8" i="7"/>
  <c r="H7" i="7" s="1"/>
  <c r="H37" i="7"/>
  <c r="H47" i="7" s="1"/>
  <c r="J38" i="7"/>
  <c r="H13" i="21"/>
  <c r="F62" i="21"/>
  <c r="F61" i="21" s="1"/>
  <c r="F9" i="21"/>
  <c r="G13" i="21"/>
  <c r="J54" i="18"/>
  <c r="I24" i="28"/>
  <c r="I28" i="28" s="1"/>
  <c r="I54" i="18"/>
  <c r="R9" i="21"/>
  <c r="I9" i="21"/>
  <c r="J13" i="21"/>
  <c r="I8" i="7"/>
  <c r="I23" i="7"/>
  <c r="I22" i="7" s="1"/>
  <c r="I37" i="7"/>
  <c r="I47" i="7" s="1"/>
  <c r="I60" i="18"/>
  <c r="J60" i="18"/>
  <c r="K13" i="21"/>
  <c r="L37" i="7"/>
  <c r="L47" i="7" s="1"/>
  <c r="L13" i="21"/>
  <c r="O13" i="21"/>
  <c r="R13" i="21"/>
  <c r="P17" i="7"/>
  <c r="Q18" i="7"/>
  <c r="S14" i="21"/>
  <c r="S10" i="21" s="1"/>
  <c r="AB8" i="16"/>
  <c r="AB11" i="16" s="1"/>
  <c r="N11" i="18" s="1"/>
  <c r="S28" i="7"/>
  <c r="S17" i="21"/>
  <c r="R17" i="21"/>
  <c r="Q9" i="21"/>
  <c r="J9" i="21" l="1"/>
  <c r="H33" i="7"/>
  <c r="H32" i="7" s="1"/>
  <c r="H45" i="7" s="1"/>
  <c r="L38" i="21"/>
  <c r="Q28" i="7"/>
  <c r="Q27" i="7" s="1"/>
  <c r="L23" i="7"/>
  <c r="L22" i="7" s="1"/>
  <c r="L8" i="7"/>
  <c r="K37" i="21"/>
  <c r="K62" i="21"/>
  <c r="K61" i="21" s="1"/>
  <c r="K25" i="28"/>
  <c r="K24" i="28" s="1"/>
  <c r="K28" i="28" s="1"/>
  <c r="M38" i="7"/>
  <c r="M60" i="18"/>
  <c r="M54" i="18"/>
  <c r="G62" i="21"/>
  <c r="G61" i="21" s="1"/>
  <c r="G9" i="21"/>
  <c r="H62" i="21"/>
  <c r="H61" i="21" s="1"/>
  <c r="H9" i="21"/>
  <c r="AB17" i="21"/>
  <c r="R62" i="21"/>
  <c r="R61" i="21" s="1"/>
  <c r="U38" i="7"/>
  <c r="T25" i="28"/>
  <c r="T24" i="28" s="1"/>
  <c r="T28" i="28" s="1"/>
  <c r="S9" i="21"/>
  <c r="K23" i="7"/>
  <c r="K22" i="7" s="1"/>
  <c r="K8" i="7"/>
  <c r="K37" i="7"/>
  <c r="K47" i="7" s="1"/>
  <c r="I33" i="7"/>
  <c r="I32" i="7" s="1"/>
  <c r="I45" i="7" s="1"/>
  <c r="I7" i="7"/>
  <c r="J23" i="7"/>
  <c r="J22" i="7" s="1"/>
  <c r="J8" i="7"/>
  <c r="J37" i="7"/>
  <c r="J47" i="7" s="1"/>
  <c r="V25" i="28"/>
  <c r="V24" i="28" s="1"/>
  <c r="V28" i="28" s="1"/>
  <c r="P37" i="7"/>
  <c r="P47" i="7" s="1"/>
  <c r="AC8" i="16"/>
  <c r="AC11" i="16" s="1"/>
  <c r="O11" i="18" s="1"/>
  <c r="S13" i="21"/>
  <c r="AB13" i="21" s="1"/>
  <c r="Q17" i="7"/>
  <c r="R37" i="7"/>
  <c r="R47" i="7" s="1"/>
  <c r="R32" i="7"/>
  <c r="R45" i="7" s="1"/>
  <c r="S27" i="7"/>
  <c r="T28" i="7"/>
  <c r="P32" i="7"/>
  <c r="P45" i="7" s="1"/>
  <c r="P7" i="7"/>
  <c r="Q7" i="7"/>
  <c r="M8" i="7" l="1"/>
  <c r="M23" i="7"/>
  <c r="M22" i="7" s="1"/>
  <c r="M37" i="7"/>
  <c r="M47" i="7" s="1"/>
  <c r="L33" i="7"/>
  <c r="L32" i="7" s="1"/>
  <c r="L45" i="7" s="1"/>
  <c r="L7" i="7"/>
  <c r="O38" i="21"/>
  <c r="R28" i="7"/>
  <c r="R27" i="7" s="1"/>
  <c r="W11" i="18"/>
  <c r="K9" i="21"/>
  <c r="L37" i="21"/>
  <c r="L25" i="28"/>
  <c r="L24" i="28" s="1"/>
  <c r="L28" i="28" s="1"/>
  <c r="N25" i="28"/>
  <c r="N24" i="28" s="1"/>
  <c r="N28" i="28" s="1"/>
  <c r="N38" i="7"/>
  <c r="N60" i="18"/>
  <c r="N54" i="18"/>
  <c r="J7" i="7"/>
  <c r="J33" i="7"/>
  <c r="J32" i="7" s="1"/>
  <c r="J45" i="7" s="1"/>
  <c r="K33" i="7"/>
  <c r="K32" i="7" s="1"/>
  <c r="K45" i="7" s="1"/>
  <c r="K7" i="7"/>
  <c r="Q37" i="7"/>
  <c r="Q47" i="7" s="1"/>
  <c r="Q32" i="7"/>
  <c r="Q45" i="7" s="1"/>
  <c r="AG8" i="16"/>
  <c r="T27" i="7"/>
  <c r="S37" i="7"/>
  <c r="S47" i="7" s="1"/>
  <c r="S32" i="7"/>
  <c r="S45" i="7" s="1"/>
  <c r="U28" i="7"/>
  <c r="N23" i="7" l="1"/>
  <c r="N22" i="7" s="1"/>
  <c r="N8" i="7"/>
  <c r="N37" i="7"/>
  <c r="N47" i="7" s="1"/>
  <c r="AB37" i="21"/>
  <c r="O10" i="21"/>
  <c r="L62" i="21"/>
  <c r="L61" i="21" s="1"/>
  <c r="L9" i="21"/>
  <c r="M25" i="28"/>
  <c r="M24" i="28" s="1"/>
  <c r="M28" i="28" s="1"/>
  <c r="O38" i="7"/>
  <c r="O25" i="28"/>
  <c r="O24" i="28" s="1"/>
  <c r="O28" i="28" s="1"/>
  <c r="O54" i="18"/>
  <c r="O60" i="18"/>
  <c r="M33" i="7"/>
  <c r="M32" i="7" s="1"/>
  <c r="M45" i="7" s="1"/>
  <c r="M7" i="7"/>
  <c r="T37" i="7"/>
  <c r="T47" i="7" s="1"/>
  <c r="T32" i="7"/>
  <c r="T45" i="7" s="1"/>
  <c r="U27" i="7"/>
  <c r="O23" i="7" l="1"/>
  <c r="O22" i="7" s="1"/>
  <c r="O8" i="7"/>
  <c r="O37" i="7"/>
  <c r="O47" i="7" s="1"/>
  <c r="O62" i="21"/>
  <c r="O61" i="21" s="1"/>
  <c r="O9" i="21"/>
  <c r="AB9" i="21" s="1"/>
  <c r="N33" i="7"/>
  <c r="N32" i="7" s="1"/>
  <c r="N45" i="7" s="1"/>
  <c r="N7" i="7"/>
  <c r="U37" i="7"/>
  <c r="U47" i="7" s="1"/>
  <c r="U32" i="7"/>
  <c r="U45" i="7" s="1"/>
  <c r="O33" i="7" l="1"/>
  <c r="O32" i="7" s="1"/>
  <c r="O45" i="7" s="1"/>
  <c r="O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10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rata conf scadentar 14 mii euro fata de raportare finante 12 mii euro</t>
        </r>
      </text>
    </comment>
    <comment ref="B20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prelungire perioada rambursare</t>
        </r>
      </text>
    </comment>
  </commentList>
</comments>
</file>

<file path=xl/sharedStrings.xml><?xml version="1.0" encoding="utf-8"?>
<sst xmlns="http://schemas.openxmlformats.org/spreadsheetml/2006/main" count="493" uniqueCount="225">
  <si>
    <t xml:space="preserve">                              GRADUL DE INDATORARE </t>
  </si>
  <si>
    <t>mii RON</t>
  </si>
  <si>
    <t>Nr. Crt.</t>
  </si>
  <si>
    <t>Denumirea indicatorilor</t>
  </si>
  <si>
    <t>Buget local estimat pentru anul</t>
  </si>
  <si>
    <t>A</t>
  </si>
  <si>
    <t>Total venituri</t>
  </si>
  <si>
    <t>11.02-Sume defalcate din TVA</t>
  </si>
  <si>
    <t>39.02-Venituri din valorificare altor bunuri</t>
  </si>
  <si>
    <t>42.02-Subv. de la bugetul de stat</t>
  </si>
  <si>
    <t>43.02-Subv. de la alte administrii</t>
  </si>
  <si>
    <t>45.02-Subv. primite de la UE in cont</t>
  </si>
  <si>
    <t xml:space="preserve">Venituri proprii </t>
  </si>
  <si>
    <t>Limita de indatorare 30% din venituri proprii</t>
  </si>
  <si>
    <t>Serviciul anual al datoriei publice locale</t>
  </si>
  <si>
    <t>Rambursare</t>
  </si>
  <si>
    <t>Dobanzi</t>
  </si>
  <si>
    <t>Comisioane</t>
  </si>
  <si>
    <t>Gradul de indatorare - in % (serviciul anual al datoriei/ venituri proprii*100)</t>
  </si>
  <si>
    <t>Valoare credit</t>
  </si>
  <si>
    <t>dobanda</t>
  </si>
  <si>
    <t>comisioane</t>
  </si>
  <si>
    <t>Marja</t>
  </si>
  <si>
    <t>Comision de plata anticipata:</t>
  </si>
  <si>
    <t>Perioada tragere si gratie:</t>
  </si>
  <si>
    <t>luni</t>
  </si>
  <si>
    <t>Perioada de rambursare:</t>
  </si>
  <si>
    <t>Data tragere</t>
  </si>
  <si>
    <t>Sold neutilizat la sfarsitul lunii</t>
  </si>
  <si>
    <t>Trageri lunare</t>
  </si>
  <si>
    <t>Total utilizat</t>
  </si>
  <si>
    <t>Data plata dobanda</t>
  </si>
  <si>
    <t>Dobanda</t>
  </si>
  <si>
    <t xml:space="preserve">Total </t>
  </si>
  <si>
    <t>Data scadenta</t>
  </si>
  <si>
    <t>Rata capital</t>
  </si>
  <si>
    <t>Sold credit</t>
  </si>
  <si>
    <t>Total de plata</t>
  </si>
  <si>
    <t>1</t>
  </si>
  <si>
    <t>6=2+4+5</t>
  </si>
  <si>
    <t>Total</t>
  </si>
  <si>
    <t>Principal</t>
  </si>
  <si>
    <t>Comision</t>
  </si>
  <si>
    <t>Total Serviciul Datoriei</t>
  </si>
  <si>
    <t>Grad indatorare prezent</t>
  </si>
  <si>
    <t>37.02.01- Donatii si sponsorizari</t>
  </si>
  <si>
    <t>Grafic de TRAGERE si plata costurilor (in perioada de tragere a creditului)</t>
  </si>
  <si>
    <t xml:space="preserve">Dobanda (Robor1M+marja): </t>
  </si>
  <si>
    <t xml:space="preserve">Nota: Prezentul scadentar este estimativ, acesta modificandu-se lunar in functie de evolutia Robor 1M si de graficul de tragere </t>
  </si>
  <si>
    <t>Grafic de RAMBURSARE si plata costurilor (in perioada de rambursare)</t>
  </si>
  <si>
    <t>Nota: Prezentul scadentar este estimativ, acesta modificandu-se lunar in functie de evolutia Robor 1M</t>
  </si>
  <si>
    <t>RON</t>
  </si>
  <si>
    <t>Valoare credit:</t>
  </si>
  <si>
    <t>capital</t>
  </si>
  <si>
    <t>mii Ron</t>
  </si>
  <si>
    <t>Robor 1M publicat la 16.10.2013:</t>
  </si>
  <si>
    <t>Comision de gestiune  0.03%, lnar</t>
  </si>
  <si>
    <t>comision</t>
  </si>
  <si>
    <t>principal</t>
  </si>
  <si>
    <t>ORDONATOR PRINCIPAL DE CREDITE</t>
  </si>
  <si>
    <t>Primar</t>
  </si>
  <si>
    <t xml:space="preserve">Nr. Crt. </t>
  </si>
  <si>
    <t>Anul</t>
  </si>
  <si>
    <t>Serviciul datoriei publice locale pentru imprumuturile si garantiile existente (a1+b1+c1)</t>
  </si>
  <si>
    <t>1.1</t>
  </si>
  <si>
    <t>a1.1) Rambursarea imprumutului</t>
  </si>
  <si>
    <t xml:space="preserve">b1.1) Dobanzi </t>
  </si>
  <si>
    <t>c1.1) Comisioane</t>
  </si>
  <si>
    <t>1.2</t>
  </si>
  <si>
    <t>1.3</t>
  </si>
  <si>
    <t>1.4</t>
  </si>
  <si>
    <t>2</t>
  </si>
  <si>
    <t>3</t>
  </si>
  <si>
    <t>Serviciul total datoriei publice locale (a3+b3+c3)</t>
  </si>
  <si>
    <t>a3) Rambursarea imprumutului (a1+a2)</t>
  </si>
  <si>
    <t>b3) Dobanzi (b1+b2)</t>
  </si>
  <si>
    <t>c3) Comisioane (c1+c2)</t>
  </si>
  <si>
    <t xml:space="preserve">Dobanda (Euribor 3M+marja): </t>
  </si>
  <si>
    <t>credit samtid</t>
  </si>
  <si>
    <t>credit brd</t>
  </si>
  <si>
    <t>Primaria Orasului Sinaia</t>
  </si>
  <si>
    <t>Credit Alpha 8.145.000 RON</t>
  </si>
  <si>
    <t>Credit BRD 3,000,000 EUR</t>
  </si>
  <si>
    <t>Credit Samtid 2.395.967 RON</t>
  </si>
  <si>
    <t>Total Serviciul Datoriei (incl UE)</t>
  </si>
  <si>
    <t>Credit Raiff 16.000.000 RON (proicte UE)</t>
  </si>
  <si>
    <t>Vasile Paula</t>
  </si>
  <si>
    <t>Anexa 1.3</t>
  </si>
  <si>
    <t>Vlad Gheorghe Oprea</t>
  </si>
  <si>
    <t>Paula Vasile</t>
  </si>
  <si>
    <t>Euribor 3M publicat la 07.07.2014:</t>
  </si>
  <si>
    <t>40.14-sume din excedentul bugetului</t>
  </si>
  <si>
    <t>total credite</t>
  </si>
  <si>
    <t>GARANTIE</t>
  </si>
  <si>
    <t>Credit EXISTENTE</t>
  </si>
  <si>
    <t>Curs schimb valutar eur/ron</t>
  </si>
  <si>
    <t>Valoare sold de refinantat</t>
  </si>
  <si>
    <t>ron</t>
  </si>
  <si>
    <t>Data</t>
  </si>
  <si>
    <t>Utilizare credit</t>
  </si>
  <si>
    <t>Rata principal</t>
  </si>
  <si>
    <t>7=3+5+6</t>
  </si>
  <si>
    <t>Serviciul Datoriei 2018 - 2031 - situatie existenta - INCLUSIV IMPRUMUT RAIFFEISEN</t>
  </si>
  <si>
    <t>a1.2) Rambursarea imprumutului</t>
  </si>
  <si>
    <t xml:space="preserve">b1.2) Dobanzi </t>
  </si>
  <si>
    <t>c1.2) Comisioane</t>
  </si>
  <si>
    <t>a1.3) Rambursarea imprumutului</t>
  </si>
  <si>
    <t xml:space="preserve">b1.3) Dobanzi </t>
  </si>
  <si>
    <t>c1.3) Comisioane</t>
  </si>
  <si>
    <t>a1.4) Rambursarea imprumutului</t>
  </si>
  <si>
    <t xml:space="preserve">b1.4) Dobanzi </t>
  </si>
  <si>
    <t>c1.4) Comisioane</t>
  </si>
  <si>
    <t>Credi Alpha Bank</t>
  </si>
  <si>
    <t>Valoare</t>
  </si>
  <si>
    <t>Data acordarii</t>
  </si>
  <si>
    <t>Tipul creditului</t>
  </si>
  <si>
    <t xml:space="preserve">Sold </t>
  </si>
  <si>
    <t>Restante</t>
  </si>
  <si>
    <t>Scadenta</t>
  </si>
  <si>
    <t>Garantii</t>
  </si>
  <si>
    <t>Valoare garantii</t>
  </si>
  <si>
    <t>B.E.I.</t>
  </si>
  <si>
    <t>BRD Group SG</t>
  </si>
  <si>
    <t>Moneda</t>
  </si>
  <si>
    <t>Raiffeisen Bank</t>
  </si>
  <si>
    <t>usd</t>
  </si>
  <si>
    <t>eur</t>
  </si>
  <si>
    <t>investitii</t>
  </si>
  <si>
    <t>ven proprii</t>
  </si>
  <si>
    <t>Grafic de utilizare si rambursare estimativ</t>
  </si>
  <si>
    <t>Comision acordare</t>
  </si>
  <si>
    <t>Robor 3 luni publicat  la data de 24.07.2018</t>
  </si>
  <si>
    <t>Data estimativa semnare contract: 30.09.2018</t>
  </si>
  <si>
    <t>Robor 3M publicat la 19.09.2018</t>
  </si>
  <si>
    <t>Robor1M</t>
  </si>
  <si>
    <t xml:space="preserve">PRIMARIA ORASULUI SINAIA </t>
  </si>
  <si>
    <t>JUDETUL PRAHOVA</t>
  </si>
  <si>
    <t>SEF SERVICIU CONTABILITATE</t>
  </si>
  <si>
    <t>Valoare imprumut</t>
  </si>
  <si>
    <t>credit cec 10.2 mio lei</t>
  </si>
  <si>
    <t>Grafic estimativ de utilizare si rambursare imprumut</t>
  </si>
  <si>
    <t xml:space="preserve">Trageri </t>
  </si>
  <si>
    <t>Rambursare principal</t>
  </si>
  <si>
    <t>6=4+5</t>
  </si>
  <si>
    <t>Robor 3 luni publicat  la data de 31.05.2019</t>
  </si>
  <si>
    <t>Data estimativa semnare contract: iunie 2019</t>
  </si>
  <si>
    <t>Robor publicat la 3105.2019</t>
  </si>
  <si>
    <t>`</t>
  </si>
  <si>
    <t>credit alpha/bcr refinantare</t>
  </si>
  <si>
    <t>Serviciul datoriei publice locale pentru garantie BT/Bancpost (17 mio) (a1.3+b1.3+c1.3)</t>
  </si>
  <si>
    <t>2.1</t>
  </si>
  <si>
    <t>2.2</t>
  </si>
  <si>
    <t>Serviciul datoriei publice locale pentru care se solicita autorizarea (credit BCR 11 mil ron)</t>
  </si>
  <si>
    <t>a2.2) Rambursarea imprumutului</t>
  </si>
  <si>
    <t xml:space="preserve">b2.2) Dobanzi </t>
  </si>
  <si>
    <t>c2.2) Comisioane</t>
  </si>
  <si>
    <t>a2.1) Rambursarea imprumutului</t>
  </si>
  <si>
    <t xml:space="preserve">b2.1) Dobanzi </t>
  </si>
  <si>
    <t>c2.1) Comisioane</t>
  </si>
  <si>
    <t>1.5</t>
  </si>
  <si>
    <t>Anexa 1.4 (pag 1)</t>
  </si>
  <si>
    <t>Anexa 1.4 (pag 2)</t>
  </si>
  <si>
    <t>Serviciul datoriei publice locale pentru credit BRD Group SG (1.190.135,95 eur) (a1.2+b1.2+c1.2)</t>
  </si>
  <si>
    <t>Serviciul datoriei publice locale pentru care se solicita autorizarea (refinantare Alpha Bank 13 mil ron)</t>
  </si>
  <si>
    <t>credit BCR 11 mil</t>
  </si>
  <si>
    <t>Robor 3M publicat la 14.05.2021</t>
  </si>
  <si>
    <t>Alte comisioane</t>
  </si>
  <si>
    <t>Robor 3 luni publicat  la data de 14.05.2021</t>
  </si>
  <si>
    <t>a2) Rambursarea imprumutului (a2.1)</t>
  </si>
  <si>
    <t>b2) Dobanzi (b2.1)</t>
  </si>
  <si>
    <t>c2) Comisioane (c2.1)</t>
  </si>
  <si>
    <t>sold initial</t>
  </si>
  <si>
    <t>trageri</t>
  </si>
  <si>
    <t>rambursari</t>
  </si>
  <si>
    <t>sold final</t>
  </si>
  <si>
    <t>com</t>
  </si>
  <si>
    <t>GARANTIE BT 20 MIO RON</t>
  </si>
  <si>
    <t>a1.5) Rambursarea imprumutului</t>
  </si>
  <si>
    <t xml:space="preserve">b1.5) Dobanzi </t>
  </si>
  <si>
    <t>c1.5) Comisioane</t>
  </si>
  <si>
    <t>Serviciul datoriei publice locale Unicredit (13 mio lei)</t>
  </si>
  <si>
    <t>Serviciul datoriei publice locale CEC Bank (refinantare 10.18 mio lei)</t>
  </si>
  <si>
    <t>Serviciul datoriei publice locale credit BCR (refinantare 1.94 mio lei)</t>
  </si>
  <si>
    <t>Executie buget local la 31.12.2021</t>
  </si>
  <si>
    <t>UNICREDIT 13 MIO RON</t>
  </si>
  <si>
    <t>Capacitatea maxima de indatorare - 30% din media veniturilor 2019-2021</t>
  </si>
  <si>
    <t>Valoare suma garantata</t>
  </si>
  <si>
    <t xml:space="preserve">Robor 1M </t>
  </si>
  <si>
    <t>Alte comisioane: 0.15%</t>
  </si>
  <si>
    <t>Rata dobanda</t>
  </si>
  <si>
    <t xml:space="preserve">Robor 1 luna publicat la data de 23.11.2022; </t>
  </si>
  <si>
    <t>Nota: Scadentarul este estimativ in functie de evolutia Robor 1 luna si graficul de tragere</t>
  </si>
  <si>
    <t>Robor1M  la 23.11.2022</t>
  </si>
  <si>
    <t>1.6</t>
  </si>
  <si>
    <t>a1.6) Rambursarea imprumutului</t>
  </si>
  <si>
    <t xml:space="preserve">b1.6) Dobanzi </t>
  </si>
  <si>
    <t>c1.6) Comisioane</t>
  </si>
  <si>
    <t>Serviciul datoriei publice locale - garantie BT (10 mil lei)</t>
  </si>
  <si>
    <t>1.7</t>
  </si>
  <si>
    <t>1.8</t>
  </si>
  <si>
    <t>a1.7) Rambursarea imprumutului</t>
  </si>
  <si>
    <t xml:space="preserve">b1.7) Dobanzi </t>
  </si>
  <si>
    <t>c1.7) Comisioane</t>
  </si>
  <si>
    <t>a1.8) Rambursarea imprumutului</t>
  </si>
  <si>
    <t xml:space="preserve">b1.8) Dobanzi </t>
  </si>
  <si>
    <t>c1.8) Comisioane</t>
  </si>
  <si>
    <t>Serviciul datoriei publice locale - BCR fd UE (11 mil lei)</t>
  </si>
  <si>
    <t>Serviciul datoriei publice locale - credit fd UE SAMTID</t>
  </si>
  <si>
    <t>(inclusiv finantarile pentru proiecte co-finantate din fonduri UE)</t>
  </si>
  <si>
    <t>Executie buget local la 31.12.2022</t>
  </si>
  <si>
    <t>1.9</t>
  </si>
  <si>
    <t xml:space="preserve">Serviciul datoriei publice locale pentru care se solicita autorizarea </t>
  </si>
  <si>
    <t>a1) Rambursarea imprumutului (a1.1+a1.2+a1.3+a1.4+a1.5+a1.6+a1.7+a1.8+a1.9)</t>
  </si>
  <si>
    <t>c1) Comisioane (c1.1+c1.2+c1.3+c1.4+c1.5+c1.6+c1.7+c1.8+c1.9)</t>
  </si>
  <si>
    <t>b1) Dobanzi (b1.1+b1.2+b1.3+b1.4+b1.5+b1.6+a1.7+b1.8+b1.9)</t>
  </si>
  <si>
    <t>a1.9) Rambursarea imprumutului</t>
  </si>
  <si>
    <t xml:space="preserve">b1.9) Dobanzi </t>
  </si>
  <si>
    <t>c1.9) Comisioane</t>
  </si>
  <si>
    <t>Executie buget local la 31.12.2023</t>
  </si>
  <si>
    <t>CREDIT NOU</t>
  </si>
  <si>
    <t>Date financiare: 29.02.2024; curs Euro/Ron publicat la 29.02.2024: 4.969</t>
  </si>
  <si>
    <t>GARANTIE RAIFF 5.3 MIO RON</t>
  </si>
  <si>
    <t>Serviciul datoriei publice locale - garantie Raiffeisen 5.39 mil ron</t>
  </si>
  <si>
    <t>CALCULUL GRADULUI DE INDATORARE al orasului Sinaia in perioada 2024-2036</t>
  </si>
  <si>
    <t xml:space="preserve">SITUATIE privind serviciul datoriei publice locale al Orasului Sinaia in perioada 2024-2036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</si>
</sst>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_(* #,##0.0_);_(* \(#,##0.0\);_(* &quot;-&quot;??_);_(@_)"/>
    <numFmt numFmtId="166" formatCode="0.0%"/>
    <numFmt numFmtId="167" formatCode="_-* #,##0.00\ _l_e_i_-;\-* #,##0.00\ _l_e_i_-;_-* &quot;-&quot;??\ _l_e_i_-;_-@_-"/>
    <numFmt numFmtId="168" formatCode="&quot;? &quot;#,##0_);[Red]&quot;(? &quot;#,##0\)"/>
    <numFmt numFmtId="169" formatCode="&quot;\ &quot;#,##0_);[Red]&quot;(\ &quot;#,##0\)"/>
    <numFmt numFmtId="170" formatCode="&quot;£ &quot;#,##0_);[Red]&quot;(£ &quot;#,##0\)"/>
    <numFmt numFmtId="171" formatCode="&quot;$ &quot;#,##0_);&quot;($ &quot;#,##0\);\-_)"/>
    <numFmt numFmtId="172" formatCode="0%_);\(0%\);\-_)"/>
    <numFmt numFmtId="173" formatCode="#,##0_);\(#,##0\);\-_)"/>
    <numFmt numFmtId="174" formatCode="&quot;$ &quot;#,##0.0_);&quot;($ &quot;#,##0.0\);\-_)"/>
    <numFmt numFmtId="175" formatCode="0.0%_);\(0.0%\);\-_)"/>
    <numFmt numFmtId="176" formatCode="#,##0.0_);\(#,##0.0\);\-_)"/>
    <numFmt numFmtId="177" formatCode="&quot;$ &quot;#,##0.00_);&quot;($ &quot;#,##0.00\);\-_)"/>
    <numFmt numFmtId="178" formatCode="0.00%_);\(0.00%\);\-_)"/>
    <numFmt numFmtId="179" formatCode="#,##0.00_);\(#,##0.00\);\-_)"/>
    <numFmt numFmtId="180" formatCode="&quot;$ &quot;#,##0.000_);&quot;($ &quot;#,##0.000\);\-_)"/>
    <numFmt numFmtId="181" formatCode="0.000%_);\(0.000%\);\-_)"/>
    <numFmt numFmtId="182" formatCode="#,##0.000_);\(#,##0.000\);\-_)"/>
    <numFmt numFmtId="183" formatCode="d\-mmm\-yy_);d\-mmm\-yy_);&quot;&quot;"/>
    <numFmt numFmtId="184" formatCode="#,_);\(#,\);\-_)"/>
    <numFmt numFmtId="185" formatCode="#,##0_);\(#,##0\);&quot;- &quot;"/>
    <numFmt numFmtId="186" formatCode="&quot;•  &quot;@"/>
    <numFmt numFmtId="187" formatCode="0.000_)"/>
    <numFmt numFmtId="188" formatCode="#,##0.0_);\(#,##0.0\)"/>
    <numFmt numFmtId="189" formatCode="#,##0.00;\-#,##0.00"/>
    <numFmt numFmtId="190" formatCode="#,##0.000_);\(#,##0.000\)"/>
    <numFmt numFmtId="191" formatCode="&quot;$ &quot;#,##0.0_);&quot;($ &quot;#,##0.0\)"/>
    <numFmt numFmtId="192" formatCode="&quot;$ &quot;#,##0.00_);&quot;($ &quot;#,##0.00\)"/>
    <numFmt numFmtId="193" formatCode="&quot;$ &quot;#,##0.000_);&quot;($ &quot;#,##0.000\)"/>
    <numFmt numFmtId="194" formatCode="&quot;  &quot;_•&quot;–    &quot;@"/>
    <numFmt numFmtId="195" formatCode="mmmm\ d&quot;, &quot;yyyy_)"/>
    <numFmt numFmtId="196" formatCode="d\-mmm\-yy_)"/>
    <numFmt numFmtId="197" formatCode="m/d/yy_)"/>
    <numFmt numFmtId="198" formatCode="m/yy_)"/>
    <numFmt numFmtId="199" formatCode="mmm\-yy_)"/>
    <numFmt numFmtId="200" formatCode="_-[$€-2]\ * #,##0.00_-;\-[$€-2]\ * #,##0.00_-;_-[$€-2]\ * \-??_-"/>
    <numFmt numFmtId="201" formatCode="#\ ?/?_)"/>
    <numFmt numFmtId="202" formatCode=";;;"/>
    <numFmt numFmtId="203" formatCode="0.00_)"/>
    <numFmt numFmtId="204" formatCode="0.0%_);\(0.0%\)"/>
    <numFmt numFmtId="205" formatCode="0.00%_);\(0.00%\)"/>
    <numFmt numFmtId="206" formatCode="0.000%_);\(0.000%\)"/>
    <numFmt numFmtId="207" formatCode="#,##0_);\(#,##0\);\-_);&quot;• &quot;@_)"/>
    <numFmt numFmtId="208" formatCode="#,##0_);\(#,##0\);\-_);&quot;– &quot;@"/>
    <numFmt numFmtId="209" formatCode="#,##0_);\(#,##0\);\-_);&quot;— &quot;@"/>
    <numFmt numFmtId="210" formatCode="#,##0\x_);\(#,##0&quot;x)&quot;"/>
    <numFmt numFmtId="211" formatCode="#,##0.0\x_);\(#,##0.0&quot;x)&quot;"/>
    <numFmt numFmtId="212" formatCode="#,##0.00\x_);\(#,##0.00&quot;x)&quot;"/>
    <numFmt numFmtId="213" formatCode="_(* #,##0_);_(* \(#,##0\);_(* \-_);_(@_)"/>
    <numFmt numFmtId="214" formatCode="_([$USD]\ * #,##0.00_);_([$USD]\ * \(#,##0.00\);_([$USD]\ * &quot;-&quot;??_);_(@_)"/>
    <numFmt numFmtId="215" formatCode="_([$USD]\ * #,##0_);_([$USD]\ * \(#,##0\);_([$USD]\ * &quot;-&quot;??_);_(@_)"/>
    <numFmt numFmtId="216" formatCode="_-* #,##0\ [$RON]_-;\-* #,##0\ [$RON]_-;_-* &quot;-&quot;\ [$RON]_-;_-@_-"/>
    <numFmt numFmtId="217" formatCode="0.0000%"/>
    <numFmt numFmtId="218" formatCode="[$-409]d\-mmm\-yy;@"/>
    <numFmt numFmtId="219" formatCode="#,##0\ [$RON]"/>
    <numFmt numFmtId="220" formatCode="#,##0\ [$EUR]"/>
    <numFmt numFmtId="221" formatCode="[$-418]d/mmm/yy;@"/>
    <numFmt numFmtId="222" formatCode="#,##0.00\ [$RON]"/>
    <numFmt numFmtId="223" formatCode="_-* #,##0\ _l_e_i_-;\-* #,##0\ _l_e_i_-;_-* &quot;-&quot;??\ _l_e_i_-;_-@_-"/>
    <numFmt numFmtId="224" formatCode="[$EUR]\ #,##0"/>
    <numFmt numFmtId="225" formatCode="_(* #,##0_);_(* \(#,##0\);_(* &quot;-&quot;??_);_(@_)"/>
    <numFmt numFmtId="226" formatCode="_-* #,##0.00_-;\-* #,##0.00_-;_-* &quot;-&quot;??_-;_-@_-"/>
  </numFmts>
  <fonts count="84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indexed="9"/>
      <name val="Arial"/>
      <family val="2"/>
    </font>
    <font>
      <b/>
      <sz val="14"/>
      <color theme="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1"/>
      <name val="Times"/>
      <family val="1"/>
    </font>
    <font>
      <sz val="12"/>
      <name val="Times New Roman"/>
      <family val="1"/>
    </font>
    <font>
      <b/>
      <i/>
      <sz val="16"/>
      <name val="Helv"/>
      <family val="2"/>
    </font>
    <font>
      <u/>
      <sz val="11"/>
      <color indexed="12"/>
      <name val="ＭＳ Ｐゴシック"/>
      <family val="3"/>
      <charset val="128"/>
    </font>
    <font>
      <sz val="11"/>
      <name val="돋움"/>
      <family val="2"/>
    </font>
    <font>
      <sz val="11"/>
      <color indexed="8"/>
      <name val="ＭＳ Ｐゴシック"/>
      <family val="2"/>
      <charset val="128"/>
    </font>
    <font>
      <u/>
      <sz val="11"/>
      <color indexed="20"/>
      <name val="ＭＳ Ｐゴシック"/>
      <family val="3"/>
      <charset val="128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16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color indexed="41"/>
      <name val="Arial"/>
      <family val="2"/>
    </font>
    <font>
      <b/>
      <sz val="10"/>
      <name val="Times New Roman"/>
      <family val="1"/>
    </font>
    <font>
      <sz val="10"/>
      <color indexed="16"/>
      <name val="Times New Roman"/>
      <family val="1"/>
    </font>
    <font>
      <b/>
      <sz val="10"/>
      <color indexed="12"/>
      <name val="Times New Roman"/>
      <family val="1"/>
    </font>
    <font>
      <sz val="14"/>
      <color rgb="FFFF0000"/>
      <name val="Arial"/>
      <family val="2"/>
    </font>
    <font>
      <b/>
      <sz val="10"/>
      <color indexed="41"/>
      <name val="Arial"/>
      <family val="2"/>
    </font>
    <font>
      <sz val="10"/>
      <color theme="0" tint="-4.9989318521683403E-2"/>
      <name val="Times New Roman"/>
      <family val="1"/>
    </font>
    <font>
      <sz val="14"/>
      <color theme="0" tint="-4.9989318521683403E-2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!!Helvetica"/>
    </font>
    <font>
      <sz val="10"/>
      <name val="Arial CE"/>
      <family val="2"/>
      <charset val="238"/>
    </font>
    <font>
      <b/>
      <sz val="8.5"/>
      <color rgb="FFFF0000"/>
      <name val="Arial"/>
      <family val="2"/>
    </font>
    <font>
      <sz val="8.5"/>
      <color rgb="FFFF0000"/>
      <name val="Times New Roman"/>
      <family val="1"/>
    </font>
    <font>
      <sz val="8.5"/>
      <color rgb="FFFF0000"/>
      <name val="Arial"/>
      <family val="2"/>
    </font>
    <font>
      <b/>
      <sz val="8.5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Times New Roman"/>
      <family val="1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4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55"/>
        <bgColor indexed="23"/>
      </patternFill>
    </fill>
    <fill>
      <patternFill patternType="solid">
        <fgColor rgb="FFFFFF00"/>
        <bgColor indexed="24"/>
      </patternFill>
    </fill>
    <fill>
      <patternFill patternType="solid">
        <fgColor rgb="FFFFFF00"/>
        <bgColor indexed="26"/>
      </patternFill>
    </fill>
    <fill>
      <patternFill patternType="solid">
        <fgColor theme="0" tint="-0.14999847407452621"/>
        <bgColor indexed="26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79">
    <xf numFmtId="164" fontId="0" fillId="7" borderId="0"/>
    <xf numFmtId="167" fontId="12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8" fontId="12" fillId="7" borderId="0" applyBorder="0" applyAlignment="0" applyProtection="0"/>
    <xf numFmtId="169" fontId="12" fillId="7" borderId="0" applyBorder="0" applyAlignment="0" applyProtection="0"/>
    <xf numFmtId="170" fontId="12" fillId="7" borderId="0" applyBorder="0" applyAlignment="0" applyProtection="0"/>
    <xf numFmtId="169" fontId="12" fillId="7" borderId="0" applyBorder="0" applyAlignment="0" applyProtection="0"/>
    <xf numFmtId="171" fontId="12" fillId="7" borderId="0" applyBorder="0" applyAlignment="0" applyProtection="0"/>
    <xf numFmtId="172" fontId="12" fillId="7" borderId="0" applyBorder="0" applyAlignment="0" applyProtection="0"/>
    <xf numFmtId="173" fontId="12" fillId="7" borderId="0" applyBorder="0" applyAlignment="0" applyProtection="0"/>
    <xf numFmtId="174" fontId="12" fillId="7" borderId="0" applyBorder="0" applyAlignment="0" applyProtection="0"/>
    <xf numFmtId="175" fontId="12" fillId="7" borderId="0" applyBorder="0" applyAlignment="0" applyProtection="0"/>
    <xf numFmtId="176" fontId="12" fillId="7" borderId="0" applyBorder="0" applyAlignment="0" applyProtection="0"/>
    <xf numFmtId="177" fontId="12" fillId="7" borderId="0" applyBorder="0" applyAlignment="0" applyProtection="0"/>
    <xf numFmtId="178" fontId="12" fillId="7" borderId="0" applyBorder="0" applyAlignment="0" applyProtection="0"/>
    <xf numFmtId="179" fontId="12" fillId="7" borderId="0" applyBorder="0" applyAlignment="0" applyProtection="0"/>
    <xf numFmtId="180" fontId="12" fillId="7" borderId="0" applyBorder="0" applyAlignment="0" applyProtection="0"/>
    <xf numFmtId="181" fontId="12" fillId="7" borderId="0" applyBorder="0" applyAlignment="0" applyProtection="0"/>
    <xf numFmtId="182" fontId="12" fillId="7" borderId="0" applyBorder="0" applyAlignment="0" applyProtection="0"/>
    <xf numFmtId="183" fontId="12" fillId="7" borderId="0" applyBorder="0" applyAlignment="0" applyProtection="0"/>
    <xf numFmtId="184" fontId="12" fillId="7" borderId="0" applyBorder="0" applyAlignment="0" applyProtection="0"/>
    <xf numFmtId="185" fontId="12" fillId="7" borderId="0" applyBorder="0" applyAlignment="0"/>
    <xf numFmtId="164" fontId="15" fillId="7" borderId="2" applyAlignment="0" applyProtection="0"/>
    <xf numFmtId="186" fontId="12" fillId="7" borderId="0" applyBorder="0" applyAlignment="0" applyProtection="0"/>
    <xf numFmtId="187" fontId="16" fillId="0" borderId="0"/>
    <xf numFmtId="187" fontId="16" fillId="0" borderId="0"/>
    <xf numFmtId="187" fontId="16" fillId="0" borderId="0"/>
    <xf numFmtId="187" fontId="16" fillId="0" borderId="0"/>
    <xf numFmtId="187" fontId="16" fillId="0" borderId="0"/>
    <xf numFmtId="187" fontId="16" fillId="0" borderId="0"/>
    <xf numFmtId="187" fontId="16" fillId="0" borderId="0"/>
    <xf numFmtId="187" fontId="16" fillId="0" borderId="0"/>
    <xf numFmtId="188" fontId="12" fillId="7" borderId="0" applyBorder="0" applyAlignment="0" applyProtection="0"/>
    <xf numFmtId="189" fontId="12" fillId="7" borderId="0" applyBorder="0" applyAlignment="0" applyProtection="0"/>
    <xf numFmtId="190" fontId="12" fillId="7" borderId="0" applyBorder="0" applyAlignment="0" applyProtection="0"/>
    <xf numFmtId="0" fontId="17" fillId="7" borderId="0"/>
    <xf numFmtId="191" fontId="12" fillId="7" borderId="0" applyBorder="0" applyAlignment="0" applyProtection="0"/>
    <xf numFmtId="192" fontId="12" fillId="7" borderId="0" applyBorder="0" applyAlignment="0" applyProtection="0"/>
    <xf numFmtId="193" fontId="12" fillId="7" borderId="0" applyBorder="0" applyAlignment="0" applyProtection="0"/>
    <xf numFmtId="194" fontId="12" fillId="7" borderId="0" applyBorder="0" applyAlignment="0" applyProtection="0"/>
    <xf numFmtId="195" fontId="12" fillId="7" borderId="0" applyBorder="0" applyAlignment="0" applyProtection="0"/>
    <xf numFmtId="196" fontId="12" fillId="7" borderId="0" applyBorder="0" applyAlignment="0" applyProtection="0"/>
    <xf numFmtId="197" fontId="12" fillId="7" borderId="0" applyBorder="0" applyAlignment="0" applyProtection="0"/>
    <xf numFmtId="198" fontId="12" fillId="7" borderId="0" applyBorder="0" applyAlignment="0" applyProtection="0"/>
    <xf numFmtId="199" fontId="12" fillId="7" borderId="0" applyBorder="0" applyAlignment="0" applyProtection="0"/>
    <xf numFmtId="195" fontId="12" fillId="7" borderId="0" applyBorder="0" applyAlignment="0" applyProtection="0"/>
    <xf numFmtId="200" fontId="12" fillId="7" borderId="0" applyBorder="0" applyAlignment="0" applyProtection="0"/>
    <xf numFmtId="0" fontId="12" fillId="7" borderId="0" applyBorder="0" applyAlignment="0" applyProtection="0"/>
    <xf numFmtId="0" fontId="12" fillId="7" borderId="0" applyBorder="0" applyAlignment="0" applyProtection="0"/>
    <xf numFmtId="201" fontId="12" fillId="7" borderId="0" applyBorder="0" applyAlignment="0" applyProtection="0"/>
    <xf numFmtId="0" fontId="12" fillId="7" borderId="0" applyBorder="0" applyAlignment="0" applyProtection="0"/>
    <xf numFmtId="202" fontId="12" fillId="7" borderId="0" applyBorder="0" applyAlignment="0" applyProtection="0"/>
    <xf numFmtId="203" fontId="18" fillId="0" borderId="0"/>
    <xf numFmtId="0" fontId="7" fillId="0" borderId="0"/>
    <xf numFmtId="204" fontId="12" fillId="7" borderId="0" applyBorder="0" applyAlignment="0" applyProtection="0"/>
    <xf numFmtId="205" fontId="12" fillId="7" borderId="0" applyBorder="0" applyAlignment="0" applyProtection="0"/>
    <xf numFmtId="206" fontId="12" fillId="7" borderId="0" applyBorder="0" applyAlignment="0" applyProtection="0"/>
    <xf numFmtId="9" fontId="7" fillId="0" borderId="0" applyFill="0" applyBorder="0" applyAlignment="0" applyProtection="0"/>
    <xf numFmtId="207" fontId="12" fillId="7" borderId="0" applyBorder="0" applyAlignment="0" applyProtection="0"/>
    <xf numFmtId="208" fontId="12" fillId="7" borderId="0" applyBorder="0" applyAlignment="0" applyProtection="0"/>
    <xf numFmtId="209" fontId="12" fillId="7" borderId="0" applyBorder="0" applyAlignment="0" applyProtection="0"/>
    <xf numFmtId="210" fontId="12" fillId="7" borderId="0" applyBorder="0" applyAlignment="0" applyProtection="0"/>
    <xf numFmtId="211" fontId="12" fillId="7" borderId="0" applyBorder="0" applyAlignment="0" applyProtection="0"/>
    <xf numFmtId="212" fontId="12" fillId="7" borderId="0" applyBorder="0" applyAlignment="0" applyProtection="0"/>
    <xf numFmtId="210" fontId="12" fillId="7" borderId="0" applyBorder="0" applyAlignment="0" applyProtection="0"/>
    <xf numFmtId="3" fontId="12" fillId="7" borderId="0" applyBorder="0" applyAlignment="0" applyProtection="0"/>
    <xf numFmtId="164" fontId="19" fillId="7" borderId="0" applyBorder="0" applyAlignment="0" applyProtection="0"/>
    <xf numFmtId="0" fontId="20" fillId="0" borderId="0"/>
    <xf numFmtId="213" fontId="12" fillId="7" borderId="0" applyBorder="0" applyAlignment="0" applyProtection="0"/>
    <xf numFmtId="213" fontId="12" fillId="7" borderId="0" applyBorder="0" applyAlignment="0" applyProtection="0"/>
    <xf numFmtId="0" fontId="21" fillId="0" borderId="0"/>
    <xf numFmtId="164" fontId="22" fillId="7" borderId="0" applyBorder="0" applyAlignment="0" applyProtection="0"/>
    <xf numFmtId="164" fontId="22" fillId="7" borderId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7" fillId="0" borderId="0"/>
    <xf numFmtId="0" fontId="7" fillId="0" borderId="0"/>
    <xf numFmtId="0" fontId="7" fillId="0" borderId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24" applyNumberFormat="0" applyAlignment="0" applyProtection="0"/>
    <xf numFmtId="0" fontId="50" fillId="36" borderId="24" applyNumberFormat="0" applyAlignment="0" applyProtection="0"/>
    <xf numFmtId="0" fontId="50" fillId="36" borderId="24" applyNumberFormat="0" applyAlignment="0" applyProtection="0"/>
    <xf numFmtId="0" fontId="50" fillId="36" borderId="24" applyNumberFormat="0" applyAlignment="0" applyProtection="0"/>
    <xf numFmtId="0" fontId="50" fillId="36" borderId="24" applyNumberFormat="0" applyAlignment="0" applyProtection="0"/>
    <xf numFmtId="0" fontId="50" fillId="36" borderId="24" applyNumberFormat="0" applyAlignment="0" applyProtection="0"/>
    <xf numFmtId="0" fontId="50" fillId="36" borderId="24" applyNumberFormat="0" applyAlignment="0" applyProtection="0"/>
    <xf numFmtId="0" fontId="50" fillId="36" borderId="24" applyNumberFormat="0" applyAlignment="0" applyProtection="0"/>
    <xf numFmtId="0" fontId="50" fillId="36" borderId="24" applyNumberFormat="0" applyAlignment="0" applyProtection="0"/>
    <xf numFmtId="0" fontId="50" fillId="36" borderId="24" applyNumberFormat="0" applyAlignment="0" applyProtection="0"/>
    <xf numFmtId="0" fontId="50" fillId="36" borderId="24" applyNumberFormat="0" applyAlignment="0" applyProtection="0"/>
    <xf numFmtId="0" fontId="50" fillId="36" borderId="24" applyNumberFormat="0" applyAlignment="0" applyProtection="0"/>
    <xf numFmtId="0" fontId="50" fillId="36" borderId="24" applyNumberFormat="0" applyAlignment="0" applyProtection="0"/>
    <xf numFmtId="0" fontId="50" fillId="36" borderId="24" applyNumberFormat="0" applyAlignment="0" applyProtection="0"/>
    <xf numFmtId="0" fontId="50" fillId="36" borderId="24" applyNumberFormat="0" applyAlignment="0" applyProtection="0"/>
    <xf numFmtId="0" fontId="50" fillId="36" borderId="24" applyNumberFormat="0" applyAlignment="0" applyProtection="0"/>
    <xf numFmtId="0" fontId="50" fillId="36" borderId="24" applyNumberFormat="0" applyAlignment="0" applyProtection="0"/>
    <xf numFmtId="0" fontId="50" fillId="36" borderId="24" applyNumberFormat="0" applyAlignment="0" applyProtection="0"/>
    <xf numFmtId="0" fontId="51" fillId="0" borderId="25" applyNumberFormat="0" applyFill="0" applyAlignment="0" applyProtection="0"/>
    <xf numFmtId="0" fontId="52" fillId="37" borderId="26" applyNumberFormat="0" applyAlignment="0" applyProtection="0"/>
    <xf numFmtId="0" fontId="52" fillId="37" borderId="26" applyNumberFormat="0" applyAlignment="0" applyProtection="0"/>
    <xf numFmtId="0" fontId="52" fillId="37" borderId="26" applyNumberFormat="0" applyAlignment="0" applyProtection="0"/>
    <xf numFmtId="0" fontId="52" fillId="37" borderId="26" applyNumberFormat="0" applyAlignment="0" applyProtection="0"/>
    <xf numFmtId="0" fontId="52" fillId="37" borderId="26" applyNumberFormat="0" applyAlignment="0" applyProtection="0"/>
    <xf numFmtId="0" fontId="52" fillId="37" borderId="26" applyNumberFormat="0" applyAlignment="0" applyProtection="0"/>
    <xf numFmtId="0" fontId="52" fillId="37" borderId="26" applyNumberFormat="0" applyAlignment="0" applyProtection="0"/>
    <xf numFmtId="0" fontId="52" fillId="37" borderId="26" applyNumberFormat="0" applyAlignment="0" applyProtection="0"/>
    <xf numFmtId="0" fontId="52" fillId="37" borderId="26" applyNumberFormat="0" applyAlignment="0" applyProtection="0"/>
    <xf numFmtId="0" fontId="52" fillId="37" borderId="26" applyNumberFormat="0" applyAlignment="0" applyProtection="0"/>
    <xf numFmtId="0" fontId="52" fillId="37" borderId="26" applyNumberFormat="0" applyAlignment="0" applyProtection="0"/>
    <xf numFmtId="0" fontId="52" fillId="37" borderId="26" applyNumberFormat="0" applyAlignment="0" applyProtection="0"/>
    <xf numFmtId="0" fontId="52" fillId="37" borderId="26" applyNumberFormat="0" applyAlignment="0" applyProtection="0"/>
    <xf numFmtId="0" fontId="52" fillId="37" borderId="26" applyNumberFormat="0" applyAlignment="0" applyProtection="0"/>
    <xf numFmtId="0" fontId="52" fillId="37" borderId="26" applyNumberFormat="0" applyAlignment="0" applyProtection="0"/>
    <xf numFmtId="0" fontId="52" fillId="37" borderId="26" applyNumberFormat="0" applyAlignment="0" applyProtection="0"/>
    <xf numFmtId="0" fontId="52" fillId="37" borderId="26" applyNumberFormat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48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5" fillId="0" borderId="28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5" borderId="30" applyNumberFormat="0" applyAlignment="0" applyProtection="0"/>
    <xf numFmtId="0" fontId="58" fillId="21" borderId="24" applyNumberFormat="0" applyAlignment="0" applyProtection="0"/>
    <xf numFmtId="0" fontId="58" fillId="21" borderId="24" applyNumberFormat="0" applyAlignment="0" applyProtection="0"/>
    <xf numFmtId="0" fontId="58" fillId="21" borderId="24" applyNumberFormat="0" applyAlignment="0" applyProtection="0"/>
    <xf numFmtId="0" fontId="58" fillId="21" borderId="24" applyNumberFormat="0" applyAlignment="0" applyProtection="0"/>
    <xf numFmtId="0" fontId="58" fillId="21" borderId="24" applyNumberFormat="0" applyAlignment="0" applyProtection="0"/>
    <xf numFmtId="0" fontId="58" fillId="21" borderId="24" applyNumberFormat="0" applyAlignment="0" applyProtection="0"/>
    <xf numFmtId="0" fontId="58" fillId="21" borderId="24" applyNumberFormat="0" applyAlignment="0" applyProtection="0"/>
    <xf numFmtId="0" fontId="58" fillId="21" borderId="24" applyNumberFormat="0" applyAlignment="0" applyProtection="0"/>
    <xf numFmtId="0" fontId="58" fillId="21" borderId="24" applyNumberFormat="0" applyAlignment="0" applyProtection="0"/>
    <xf numFmtId="0" fontId="58" fillId="21" borderId="24" applyNumberFormat="0" applyAlignment="0" applyProtection="0"/>
    <xf numFmtId="0" fontId="58" fillId="21" borderId="24" applyNumberFormat="0" applyAlignment="0" applyProtection="0"/>
    <xf numFmtId="0" fontId="58" fillId="21" borderId="24" applyNumberFormat="0" applyAlignment="0" applyProtection="0"/>
    <xf numFmtId="0" fontId="58" fillId="21" borderId="24" applyNumberFormat="0" applyAlignment="0" applyProtection="0"/>
    <xf numFmtId="0" fontId="58" fillId="21" borderId="24" applyNumberFormat="0" applyAlignment="0" applyProtection="0"/>
    <xf numFmtId="0" fontId="58" fillId="21" borderId="24" applyNumberFormat="0" applyAlignment="0" applyProtection="0"/>
    <xf numFmtId="0" fontId="58" fillId="21" borderId="24" applyNumberFormat="0" applyAlignment="0" applyProtection="0"/>
    <xf numFmtId="0" fontId="58" fillId="21" borderId="24" applyNumberFormat="0" applyAlignment="0" applyProtection="0"/>
    <xf numFmtId="0" fontId="58" fillId="39" borderId="24" applyNumberFormat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171" fontId="12" fillId="7" borderId="0"/>
    <xf numFmtId="225" fontId="12" fillId="7" borderId="0"/>
    <xf numFmtId="225" fontId="12" fillId="7" borderId="0"/>
    <xf numFmtId="225" fontId="12" fillId="7" borderId="0"/>
    <xf numFmtId="225" fontId="12" fillId="7" borderId="0"/>
    <xf numFmtId="225" fontId="12" fillId="7" borderId="0"/>
    <xf numFmtId="0" fontId="60" fillId="0" borderId="0"/>
    <xf numFmtId="0" fontId="60" fillId="0" borderId="0"/>
    <xf numFmtId="0" fontId="60" fillId="0" borderId="0"/>
    <xf numFmtId="0" fontId="46" fillId="0" borderId="0"/>
    <xf numFmtId="0" fontId="7" fillId="0" borderId="0"/>
    <xf numFmtId="0" fontId="60" fillId="0" borderId="0"/>
    <xf numFmtId="0" fontId="6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0" fillId="0" borderId="0"/>
    <xf numFmtId="0" fontId="46" fillId="42" borderId="31" applyNumberFormat="0" applyAlignment="0" applyProtection="0"/>
    <xf numFmtId="0" fontId="7" fillId="43" borderId="31" applyNumberFormat="0" applyFont="0" applyAlignment="0" applyProtection="0"/>
    <xf numFmtId="0" fontId="7" fillId="43" borderId="31" applyNumberFormat="0" applyFont="0" applyAlignment="0" applyProtection="0"/>
    <xf numFmtId="0" fontId="7" fillId="43" borderId="31" applyNumberFormat="0" applyFont="0" applyAlignment="0" applyProtection="0"/>
    <xf numFmtId="0" fontId="7" fillId="43" borderId="31" applyNumberFormat="0" applyFont="0" applyAlignment="0" applyProtection="0"/>
    <xf numFmtId="0" fontId="7" fillId="43" borderId="31" applyNumberFormat="0" applyFont="0" applyAlignment="0" applyProtection="0"/>
    <xf numFmtId="0" fontId="7" fillId="43" borderId="31" applyNumberFormat="0" applyFont="0" applyAlignment="0" applyProtection="0"/>
    <xf numFmtId="0" fontId="7" fillId="43" borderId="31" applyNumberFormat="0" applyFont="0" applyAlignment="0" applyProtection="0"/>
    <xf numFmtId="0" fontId="7" fillId="43" borderId="31" applyNumberFormat="0" applyFont="0" applyAlignment="0" applyProtection="0"/>
    <xf numFmtId="0" fontId="7" fillId="43" borderId="31" applyNumberFormat="0" applyFont="0" applyAlignment="0" applyProtection="0"/>
    <xf numFmtId="0" fontId="7" fillId="43" borderId="31" applyNumberFormat="0" applyFont="0" applyAlignment="0" applyProtection="0"/>
    <xf numFmtId="0" fontId="7" fillId="43" borderId="31" applyNumberFormat="0" applyFont="0" applyAlignment="0" applyProtection="0"/>
    <xf numFmtId="0" fontId="57" fillId="36" borderId="30" applyNumberFormat="0" applyAlignment="0" applyProtection="0"/>
    <xf numFmtId="0" fontId="57" fillId="36" borderId="30" applyNumberFormat="0" applyAlignment="0" applyProtection="0"/>
    <xf numFmtId="0" fontId="57" fillId="36" borderId="30" applyNumberFormat="0" applyAlignment="0" applyProtection="0"/>
    <xf numFmtId="0" fontId="57" fillId="36" borderId="30" applyNumberFormat="0" applyAlignment="0" applyProtection="0"/>
    <xf numFmtId="0" fontId="57" fillId="36" borderId="30" applyNumberFormat="0" applyAlignment="0" applyProtection="0"/>
    <xf numFmtId="0" fontId="57" fillId="36" borderId="30" applyNumberFormat="0" applyAlignment="0" applyProtection="0"/>
    <xf numFmtId="0" fontId="57" fillId="36" borderId="30" applyNumberFormat="0" applyAlignment="0" applyProtection="0"/>
    <xf numFmtId="0" fontId="57" fillId="36" borderId="30" applyNumberFormat="0" applyAlignment="0" applyProtection="0"/>
    <xf numFmtId="0" fontId="57" fillId="36" borderId="30" applyNumberFormat="0" applyAlignment="0" applyProtection="0"/>
    <xf numFmtId="0" fontId="57" fillId="36" borderId="30" applyNumberFormat="0" applyAlignment="0" applyProtection="0"/>
    <xf numFmtId="0" fontId="57" fillId="36" borderId="30" applyNumberFormat="0" applyAlignment="0" applyProtection="0"/>
    <xf numFmtId="0" fontId="57" fillId="36" borderId="30" applyNumberFormat="0" applyAlignment="0" applyProtection="0"/>
    <xf numFmtId="0" fontId="57" fillId="36" borderId="30" applyNumberFormat="0" applyAlignment="0" applyProtection="0"/>
    <xf numFmtId="0" fontId="57" fillId="36" borderId="30" applyNumberFormat="0" applyAlignment="0" applyProtection="0"/>
    <xf numFmtId="0" fontId="57" fillId="36" borderId="30" applyNumberFormat="0" applyAlignment="0" applyProtection="0"/>
    <xf numFmtId="0" fontId="57" fillId="36" borderId="30" applyNumberFormat="0" applyAlignment="0" applyProtection="0"/>
    <xf numFmtId="0" fontId="57" fillId="36" borderId="30" applyNumberFormat="0" applyAlignment="0" applyProtection="0"/>
    <xf numFmtId="9" fontId="7" fillId="0" borderId="0" applyFill="0" applyBorder="0" applyAlignment="0" applyProtection="0"/>
    <xf numFmtId="9" fontId="46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6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4" fillId="0" borderId="27" applyNumberFormat="0" applyFill="0" applyAlignment="0" applyProtection="0"/>
    <xf numFmtId="0" fontId="55" fillId="0" borderId="28" applyNumberFormat="0" applyFill="0" applyAlignment="0" applyProtection="0"/>
    <xf numFmtId="0" fontId="56" fillId="0" borderId="29" applyNumberFormat="0" applyFill="0" applyAlignment="0" applyProtection="0"/>
    <xf numFmtId="0" fontId="56" fillId="0" borderId="0" applyNumberFormat="0" applyFill="0" applyBorder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44" fontId="64" fillId="0" borderId="0" applyFont="0" applyFill="0" applyBorder="0" applyAlignment="0" applyProtection="0"/>
    <xf numFmtId="0" fontId="52" fillId="44" borderId="26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5" fillId="0" borderId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" fillId="0" borderId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1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226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/>
    <xf numFmtId="0" fontId="82" fillId="0" borderId="0"/>
  </cellStyleXfs>
  <cellXfs count="441">
    <xf numFmtId="164" fontId="0" fillId="7" borderId="0" xfId="0"/>
    <xf numFmtId="0" fontId="8" fillId="2" borderId="0" xfId="2" applyFont="1" applyFill="1"/>
    <xf numFmtId="0" fontId="10" fillId="4" borderId="0" xfId="2" applyFont="1" applyFill="1" applyAlignment="1">
      <alignment vertical="center"/>
    </xf>
    <xf numFmtId="0" fontId="8" fillId="5" borderId="0" xfId="2" applyFont="1" applyFill="1"/>
    <xf numFmtId="0" fontId="11" fillId="6" borderId="0" xfId="2" applyFont="1" applyFill="1"/>
    <xf numFmtId="164" fontId="13" fillId="6" borderId="0" xfId="0" applyFont="1" applyFill="1" applyAlignment="1" applyProtection="1">
      <alignment wrapText="1"/>
      <protection locked="0"/>
    </xf>
    <xf numFmtId="164" fontId="13" fillId="4" borderId="0" xfId="0" applyFont="1" applyFill="1" applyAlignment="1" applyProtection="1">
      <alignment wrapText="1"/>
      <protection locked="0"/>
    </xf>
    <xf numFmtId="164" fontId="13" fillId="4" borderId="0" xfId="0" applyFont="1" applyFill="1" applyAlignment="1" applyProtection="1">
      <alignment horizontal="center" wrapText="1"/>
      <protection locked="0"/>
    </xf>
    <xf numFmtId="0" fontId="14" fillId="4" borderId="0" xfId="2" applyFont="1" applyFill="1"/>
    <xf numFmtId="0" fontId="11" fillId="5" borderId="0" xfId="2" applyFont="1" applyFill="1"/>
    <xf numFmtId="0" fontId="7" fillId="0" borderId="0" xfId="3" applyAlignment="1">
      <alignment vertical="center" wrapText="1"/>
    </xf>
    <xf numFmtId="0" fontId="7" fillId="0" borderId="0" xfId="3"/>
    <xf numFmtId="0" fontId="7" fillId="0" borderId="0" xfId="3" applyAlignment="1">
      <alignment horizontal="center" wrapText="1"/>
    </xf>
    <xf numFmtId="0" fontId="7" fillId="0" borderId="0" xfId="3" applyAlignment="1">
      <alignment wrapText="1"/>
    </xf>
    <xf numFmtId="0" fontId="7" fillId="0" borderId="1" xfId="3" applyBorder="1" applyAlignment="1">
      <alignment horizontal="center" vertical="center" wrapText="1"/>
    </xf>
    <xf numFmtId="0" fontId="7" fillId="0" borderId="1" xfId="3" applyBorder="1" applyAlignment="1">
      <alignment horizontal="center" wrapText="1"/>
    </xf>
    <xf numFmtId="0" fontId="7" fillId="0" borderId="1" xfId="3" applyBorder="1" applyAlignment="1">
      <alignment horizontal="left" wrapText="1"/>
    </xf>
    <xf numFmtId="165" fontId="7" fillId="0" borderId="1" xfId="3" applyNumberFormat="1" applyBorder="1" applyAlignment="1">
      <alignment horizontal="center" vertical="center"/>
    </xf>
    <xf numFmtId="165" fontId="7" fillId="0" borderId="1" xfId="3" applyNumberFormat="1" applyBorder="1" applyAlignment="1">
      <alignment horizontal="center" vertical="center" wrapText="1"/>
    </xf>
    <xf numFmtId="0" fontId="7" fillId="0" borderId="1" xfId="3" applyBorder="1"/>
    <xf numFmtId="43" fontId="7" fillId="0" borderId="0" xfId="3" applyNumberFormat="1"/>
    <xf numFmtId="9" fontId="7" fillId="0" borderId="0" xfId="4" applyFont="1" applyBorder="1"/>
    <xf numFmtId="0" fontId="7" fillId="0" borderId="1" xfId="3" applyBorder="1" applyAlignment="1" applyProtection="1">
      <alignment wrapText="1"/>
      <protection locked="0"/>
    </xf>
    <xf numFmtId="166" fontId="7" fillId="0" borderId="1" xfId="4" applyNumberFormat="1" applyFont="1" applyBorder="1" applyAlignment="1">
      <alignment horizontal="center" vertical="center"/>
    </xf>
    <xf numFmtId="166" fontId="7" fillId="0" borderId="1" xfId="3" applyNumberFormat="1" applyBorder="1" applyAlignment="1">
      <alignment horizontal="center" vertical="center"/>
    </xf>
    <xf numFmtId="167" fontId="7" fillId="0" borderId="0" xfId="1" applyFont="1"/>
    <xf numFmtId="165" fontId="7" fillId="0" borderId="0" xfId="3" applyNumberFormat="1"/>
    <xf numFmtId="214" fontId="7" fillId="0" borderId="0" xfId="76" applyNumberFormat="1" applyFont="1" applyBorder="1"/>
    <xf numFmtId="0" fontId="7" fillId="0" borderId="0" xfId="75" applyFont="1"/>
    <xf numFmtId="214" fontId="7" fillId="0" borderId="0" xfId="76" applyNumberFormat="1" applyFont="1"/>
    <xf numFmtId="215" fontId="7" fillId="0" borderId="0" xfId="76" applyNumberFormat="1" applyFont="1"/>
    <xf numFmtId="49" fontId="7" fillId="0" borderId="0" xfId="75" applyNumberFormat="1" applyFont="1" applyAlignment="1">
      <alignment horizontal="left"/>
    </xf>
    <xf numFmtId="216" fontId="7" fillId="0" borderId="0" xfId="76" applyNumberFormat="1" applyFont="1" applyFill="1" applyBorder="1"/>
    <xf numFmtId="15" fontId="23" fillId="0" borderId="0" xfId="75" applyNumberFormat="1" applyFont="1"/>
    <xf numFmtId="216" fontId="24" fillId="0" borderId="0" xfId="76" applyNumberFormat="1" applyFont="1" applyFill="1" applyBorder="1" applyAlignment="1"/>
    <xf numFmtId="214" fontId="7" fillId="0" borderId="0" xfId="76" applyNumberFormat="1" applyFont="1" applyFill="1" applyBorder="1"/>
    <xf numFmtId="215" fontId="7" fillId="0" borderId="0" xfId="76" applyNumberFormat="1" applyFont="1" applyFill="1" applyBorder="1"/>
    <xf numFmtId="10" fontId="23" fillId="0" borderId="0" xfId="75" applyNumberFormat="1" applyFont="1"/>
    <xf numFmtId="44" fontId="7" fillId="0" borderId="0" xfId="75" applyNumberFormat="1" applyFont="1"/>
    <xf numFmtId="0" fontId="12" fillId="0" borderId="0" xfId="75"/>
    <xf numFmtId="214" fontId="7" fillId="0" borderId="0" xfId="76" applyNumberFormat="1" applyFont="1" applyAlignment="1">
      <alignment horizontal="center"/>
    </xf>
    <xf numFmtId="0" fontId="7" fillId="0" borderId="0" xfId="75" applyFont="1" applyAlignment="1">
      <alignment horizontal="center" vertical="center" wrapText="1"/>
    </xf>
    <xf numFmtId="0" fontId="7" fillId="7" borderId="0" xfId="37" applyFont="1" applyAlignment="1">
      <alignment horizontal="center"/>
    </xf>
    <xf numFmtId="0" fontId="7" fillId="0" borderId="0" xfId="75" applyFont="1" applyAlignment="1">
      <alignment horizontal="center"/>
    </xf>
    <xf numFmtId="217" fontId="7" fillId="0" borderId="0" xfId="59" applyNumberFormat="1"/>
    <xf numFmtId="216" fontId="7" fillId="0" borderId="0" xfId="75" applyNumberFormat="1" applyFont="1"/>
    <xf numFmtId="0" fontId="14" fillId="0" borderId="0" xfId="75" applyFont="1"/>
    <xf numFmtId="214" fontId="26" fillId="9" borderId="3" xfId="76" applyNumberFormat="1" applyFont="1" applyFill="1" applyBorder="1" applyAlignment="1">
      <alignment horizontal="center" vertical="center" wrapText="1"/>
    </xf>
    <xf numFmtId="214" fontId="26" fillId="9" borderId="4" xfId="76" applyNumberFormat="1" applyFont="1" applyFill="1" applyBorder="1" applyAlignment="1">
      <alignment horizontal="center" vertical="center" wrapText="1"/>
    </xf>
    <xf numFmtId="214" fontId="26" fillId="9" borderId="5" xfId="76" applyNumberFormat="1" applyFont="1" applyFill="1" applyBorder="1" applyAlignment="1">
      <alignment horizontal="center" vertical="center" wrapText="1"/>
    </xf>
    <xf numFmtId="164" fontId="0" fillId="7" borderId="0" xfId="0" applyAlignment="1">
      <alignment horizontal="right"/>
    </xf>
    <xf numFmtId="219" fontId="27" fillId="10" borderId="1" xfId="76" applyNumberFormat="1" applyFont="1" applyFill="1" applyBorder="1" applyAlignment="1"/>
    <xf numFmtId="219" fontId="27" fillId="0" borderId="1" xfId="76" applyNumberFormat="1" applyFont="1" applyFill="1" applyBorder="1" applyAlignment="1"/>
    <xf numFmtId="219" fontId="12" fillId="0" borderId="1" xfId="76" applyNumberFormat="1" applyFont="1" applyFill="1" applyBorder="1" applyAlignment="1"/>
    <xf numFmtId="218" fontId="28" fillId="5" borderId="1" xfId="77" applyNumberFormat="1" applyFont="1" applyFill="1" applyBorder="1"/>
    <xf numFmtId="4" fontId="0" fillId="7" borderId="0" xfId="0" applyNumberFormat="1"/>
    <xf numFmtId="164" fontId="0" fillId="11" borderId="0" xfId="0" applyFill="1"/>
    <xf numFmtId="219" fontId="27" fillId="4" borderId="1" xfId="76" applyNumberFormat="1" applyFont="1" applyFill="1" applyBorder="1" applyAlignment="1"/>
    <xf numFmtId="4" fontId="0" fillId="11" borderId="0" xfId="0" applyNumberFormat="1" applyFill="1"/>
    <xf numFmtId="49" fontId="29" fillId="10" borderId="6" xfId="77" applyNumberFormat="1" applyFont="1" applyFill="1" applyBorder="1" applyAlignment="1">
      <alignment horizontal="left"/>
    </xf>
    <xf numFmtId="219" fontId="29" fillId="10" borderId="7" xfId="76" applyNumberFormat="1" applyFont="1" applyFill="1" applyBorder="1" applyAlignment="1"/>
    <xf numFmtId="216" fontId="29" fillId="10" borderId="7" xfId="76" applyNumberFormat="1" applyFont="1" applyFill="1" applyBorder="1" applyAlignment="1"/>
    <xf numFmtId="216" fontId="29" fillId="10" borderId="8" xfId="76" applyNumberFormat="1" applyFont="1" applyFill="1" applyBorder="1" applyAlignment="1"/>
    <xf numFmtId="4" fontId="7" fillId="0" borderId="0" xfId="75" applyNumberFormat="1" applyFont="1"/>
    <xf numFmtId="4" fontId="14" fillId="0" borderId="0" xfId="75" applyNumberFormat="1" applyFont="1"/>
    <xf numFmtId="49" fontId="27" fillId="0" borderId="0" xfId="77" applyNumberFormat="1" applyFont="1" applyAlignment="1">
      <alignment horizontal="left"/>
    </xf>
    <xf numFmtId="220" fontId="29" fillId="0" borderId="0" xfId="76" applyNumberFormat="1" applyFont="1" applyFill="1" applyBorder="1" applyAlignment="1"/>
    <xf numFmtId="220" fontId="31" fillId="0" borderId="0" xfId="77" applyNumberFormat="1" applyFont="1" applyAlignment="1">
      <alignment horizontal="center" vertical="center" wrapText="1"/>
    </xf>
    <xf numFmtId="49" fontId="26" fillId="9" borderId="9" xfId="77" applyNumberFormat="1" applyFont="1" applyFill="1" applyBorder="1" applyAlignment="1">
      <alignment horizontal="center" vertical="center" wrapText="1"/>
    </xf>
    <xf numFmtId="220" fontId="26" fillId="9" borderId="10" xfId="76" applyNumberFormat="1" applyFont="1" applyFill="1" applyBorder="1" applyAlignment="1">
      <alignment horizontal="center" vertical="center" wrapText="1"/>
    </xf>
    <xf numFmtId="220" fontId="26" fillId="9" borderId="11" xfId="76" applyNumberFormat="1" applyFont="1" applyFill="1" applyBorder="1" applyAlignment="1">
      <alignment horizontal="center" vertical="center" wrapText="1"/>
    </xf>
    <xf numFmtId="222" fontId="28" fillId="0" borderId="1" xfId="76" applyNumberFormat="1" applyFont="1" applyFill="1" applyBorder="1" applyAlignment="1">
      <alignment horizontal="right" vertical="center" wrapText="1"/>
    </xf>
    <xf numFmtId="222" fontId="28" fillId="4" borderId="1" xfId="76" applyNumberFormat="1" applyFont="1" applyFill="1" applyBorder="1" applyAlignment="1">
      <alignment horizontal="right" vertical="center" wrapText="1"/>
    </xf>
    <xf numFmtId="218" fontId="27" fillId="12" borderId="15" xfId="77" applyNumberFormat="1" applyFont="1" applyFill="1" applyBorder="1" applyAlignment="1">
      <alignment horizontal="left"/>
    </xf>
    <xf numFmtId="165" fontId="7" fillId="13" borderId="1" xfId="3" applyNumberFormat="1" applyFill="1" applyBorder="1" applyAlignment="1">
      <alignment horizontal="center" vertical="center"/>
    </xf>
    <xf numFmtId="166" fontId="7" fillId="13" borderId="1" xfId="4" applyNumberFormat="1" applyFont="1" applyFill="1" applyBorder="1" applyAlignment="1">
      <alignment horizontal="center" vertical="center"/>
    </xf>
    <xf numFmtId="0" fontId="34" fillId="3" borderId="0" xfId="2" applyFont="1" applyFill="1"/>
    <xf numFmtId="0" fontId="30" fillId="5" borderId="0" xfId="78" applyFont="1" applyFill="1"/>
    <xf numFmtId="164" fontId="13" fillId="14" borderId="0" xfId="0" applyFont="1" applyFill="1" applyProtection="1">
      <protection locked="0"/>
    </xf>
    <xf numFmtId="0" fontId="35" fillId="14" borderId="0" xfId="78" applyFont="1" applyFill="1" applyProtection="1">
      <protection locked="0"/>
    </xf>
    <xf numFmtId="164" fontId="13" fillId="14" borderId="0" xfId="0" applyFont="1" applyFill="1" applyAlignment="1" applyProtection="1">
      <alignment wrapText="1"/>
      <protection locked="0"/>
    </xf>
    <xf numFmtId="0" fontId="35" fillId="5" borderId="0" xfId="78" applyFont="1" applyFill="1" applyProtection="1">
      <protection locked="0"/>
    </xf>
    <xf numFmtId="0" fontId="13" fillId="0" borderId="0" xfId="75" applyFont="1"/>
    <xf numFmtId="214" fontId="14" fillId="0" borderId="0" xfId="76" applyNumberFormat="1" applyFont="1" applyFill="1" applyBorder="1" applyAlignment="1">
      <alignment horizontal="left"/>
    </xf>
    <xf numFmtId="10" fontId="7" fillId="0" borderId="0" xfId="75" applyNumberFormat="1" applyFont="1"/>
    <xf numFmtId="0" fontId="0" fillId="0" borderId="0" xfId="75" applyFont="1"/>
    <xf numFmtId="4" fontId="25" fillId="0" borderId="0" xfId="76" applyNumberFormat="1" applyFont="1" applyFill="1" applyBorder="1" applyAlignment="1"/>
    <xf numFmtId="214" fontId="7" fillId="8" borderId="0" xfId="76" applyNumberFormat="1" applyFont="1" applyFill="1" applyBorder="1"/>
    <xf numFmtId="3" fontId="7" fillId="0" borderId="0" xfId="75" applyNumberFormat="1" applyFont="1"/>
    <xf numFmtId="164" fontId="36" fillId="11" borderId="0" xfId="0" applyFont="1" applyFill="1"/>
    <xf numFmtId="218" fontId="27" fillId="10" borderId="12" xfId="77" applyNumberFormat="1" applyFont="1" applyFill="1" applyBorder="1" applyAlignment="1">
      <alignment horizontal="left"/>
    </xf>
    <xf numFmtId="219" fontId="27" fillId="0" borderId="13" xfId="76" applyNumberFormat="1" applyFont="1" applyFill="1" applyBorder="1" applyAlignment="1"/>
    <xf numFmtId="219" fontId="12" fillId="0" borderId="13" xfId="76" applyNumberFormat="1" applyFont="1" applyFill="1" applyBorder="1" applyAlignment="1"/>
    <xf numFmtId="219" fontId="27" fillId="10" borderId="13" xfId="76" applyNumberFormat="1" applyFont="1" applyFill="1" applyBorder="1" applyAlignment="1"/>
    <xf numFmtId="218" fontId="28" fillId="5" borderId="13" xfId="77" applyNumberFormat="1" applyFont="1" applyFill="1" applyBorder="1"/>
    <xf numFmtId="4" fontId="12" fillId="0" borderId="14" xfId="77" applyNumberFormat="1" applyBorder="1" applyAlignment="1">
      <alignment horizontal="center"/>
    </xf>
    <xf numFmtId="218" fontId="27" fillId="10" borderId="15" xfId="77" applyNumberFormat="1" applyFont="1" applyFill="1" applyBorder="1" applyAlignment="1">
      <alignment horizontal="left"/>
    </xf>
    <xf numFmtId="4" fontId="12" fillId="0" borderId="16" xfId="77" applyNumberFormat="1" applyBorder="1" applyAlignment="1">
      <alignment horizontal="center"/>
    </xf>
    <xf numFmtId="0" fontId="37" fillId="3" borderId="0" xfId="2" applyFont="1" applyFill="1" applyAlignment="1">
      <alignment horizontal="right"/>
    </xf>
    <xf numFmtId="4" fontId="24" fillId="0" borderId="0" xfId="76" applyNumberFormat="1" applyFont="1" applyFill="1" applyBorder="1" applyAlignment="1"/>
    <xf numFmtId="4" fontId="28" fillId="5" borderId="16" xfId="77" applyNumberFormat="1" applyFont="1" applyFill="1" applyBorder="1"/>
    <xf numFmtId="4" fontId="28" fillId="4" borderId="16" xfId="77" applyNumberFormat="1" applyFont="1" applyFill="1" applyBorder="1"/>
    <xf numFmtId="164" fontId="31" fillId="11" borderId="18" xfId="0" applyFont="1" applyFill="1" applyBorder="1"/>
    <xf numFmtId="222" fontId="33" fillId="4" borderId="19" xfId="76" applyNumberFormat="1" applyFont="1" applyFill="1" applyBorder="1" applyAlignment="1">
      <alignment horizontal="right" vertical="center" wrapText="1"/>
    </xf>
    <xf numFmtId="164" fontId="31" fillId="11" borderId="19" xfId="0" applyFont="1" applyFill="1" applyBorder="1"/>
    <xf numFmtId="4" fontId="31" fillId="11" borderId="19" xfId="0" applyNumberFormat="1" applyFont="1" applyFill="1" applyBorder="1"/>
    <xf numFmtId="4" fontId="31" fillId="11" borderId="20" xfId="0" applyNumberFormat="1" applyFont="1" applyFill="1" applyBorder="1"/>
    <xf numFmtId="164" fontId="31" fillId="11" borderId="0" xfId="0" applyFont="1" applyFill="1"/>
    <xf numFmtId="222" fontId="33" fillId="4" borderId="0" xfId="76" applyNumberFormat="1" applyFont="1" applyFill="1" applyBorder="1" applyAlignment="1">
      <alignment horizontal="right" vertical="center" wrapText="1"/>
    </xf>
    <xf numFmtId="4" fontId="31" fillId="11" borderId="0" xfId="0" applyNumberFormat="1" applyFont="1" applyFill="1"/>
    <xf numFmtId="37" fontId="7" fillId="0" borderId="0" xfId="76" applyNumberFormat="1" applyFont="1" applyBorder="1"/>
    <xf numFmtId="0" fontId="38" fillId="0" borderId="0" xfId="75" applyFont="1"/>
    <xf numFmtId="216" fontId="38" fillId="0" borderId="0" xfId="75" applyNumberFormat="1" applyFont="1"/>
    <xf numFmtId="164" fontId="39" fillId="11" borderId="0" xfId="0" applyFont="1" applyFill="1"/>
    <xf numFmtId="164" fontId="39" fillId="7" borderId="0" xfId="0" applyFont="1"/>
    <xf numFmtId="221" fontId="39" fillId="7" borderId="0" xfId="0" applyNumberFormat="1" applyFont="1"/>
    <xf numFmtId="3" fontId="14" fillId="0" borderId="0" xfId="75" applyNumberFormat="1" applyFont="1"/>
    <xf numFmtId="3" fontId="7" fillId="0" borderId="0" xfId="75" applyNumberFormat="1" applyFont="1" applyAlignment="1">
      <alignment horizontal="center" vertical="center" wrapText="1"/>
    </xf>
    <xf numFmtId="164" fontId="39" fillId="15" borderId="0" xfId="0" applyFont="1" applyFill="1"/>
    <xf numFmtId="164" fontId="0" fillId="15" borderId="0" xfId="0" applyFill="1"/>
    <xf numFmtId="222" fontId="28" fillId="13" borderId="1" xfId="76" applyNumberFormat="1" applyFont="1" applyFill="1" applyBorder="1" applyAlignment="1">
      <alignment horizontal="right" vertical="center" wrapText="1"/>
    </xf>
    <xf numFmtId="4" fontId="28" fillId="13" borderId="16" xfId="77" applyNumberFormat="1" applyFont="1" applyFill="1" applyBorder="1"/>
    <xf numFmtId="4" fontId="39" fillId="7" borderId="0" xfId="0" applyNumberFormat="1" applyFont="1"/>
    <xf numFmtId="4" fontId="39" fillId="11" borderId="0" xfId="0" applyNumberFormat="1" applyFont="1" applyFill="1"/>
    <xf numFmtId="4" fontId="39" fillId="15" borderId="0" xfId="0" applyNumberFormat="1" applyFont="1" applyFill="1"/>
    <xf numFmtId="0" fontId="9" fillId="4" borderId="0" xfId="2" applyFont="1" applyFill="1" applyAlignment="1">
      <alignment vertical="center"/>
    </xf>
    <xf numFmtId="164" fontId="40" fillId="7" borderId="0" xfId="0" applyFont="1"/>
    <xf numFmtId="164" fontId="41" fillId="7" borderId="0" xfId="0" applyFont="1"/>
    <xf numFmtId="164" fontId="42" fillId="7" borderId="0" xfId="0" applyFont="1" applyAlignment="1">
      <alignment horizontal="center"/>
    </xf>
    <xf numFmtId="4" fontId="41" fillId="7" borderId="7" xfId="0" applyNumberFormat="1" applyFont="1" applyBorder="1" applyAlignment="1">
      <alignment horizontal="center" vertical="center"/>
    </xf>
    <xf numFmtId="167" fontId="41" fillId="7" borderId="0" xfId="1" applyFont="1" applyFill="1" applyAlignment="1">
      <alignment horizontal="center" vertical="center"/>
    </xf>
    <xf numFmtId="164" fontId="44" fillId="0" borderId="0" xfId="0" applyFont="1" applyFill="1"/>
    <xf numFmtId="164" fontId="41" fillId="7" borderId="0" xfId="0" applyFont="1" applyAlignment="1">
      <alignment horizontal="center" vertical="center"/>
    </xf>
    <xf numFmtId="167" fontId="41" fillId="7" borderId="7" xfId="1" applyFont="1" applyFill="1" applyBorder="1" applyAlignment="1">
      <alignment horizontal="center" vertical="center"/>
    </xf>
    <xf numFmtId="167" fontId="41" fillId="7" borderId="0" xfId="1" applyFont="1" applyFill="1"/>
    <xf numFmtId="167" fontId="41" fillId="7" borderId="0" xfId="1" applyFont="1" applyFill="1" applyAlignment="1">
      <alignment horizontal="center"/>
    </xf>
    <xf numFmtId="164" fontId="41" fillId="7" borderId="0" xfId="0" applyFont="1" applyAlignment="1">
      <alignment horizontal="center"/>
    </xf>
    <xf numFmtId="164" fontId="42" fillId="7" borderId="0" xfId="0" applyFont="1"/>
    <xf numFmtId="10" fontId="41" fillId="7" borderId="0" xfId="1" applyNumberFormat="1" applyFont="1" applyFill="1" applyAlignment="1">
      <alignment horizontal="center"/>
    </xf>
    <xf numFmtId="0" fontId="32" fillId="9" borderId="3" xfId="77" applyFont="1" applyFill="1" applyBorder="1" applyAlignment="1">
      <alignment horizontal="center" vertical="center" wrapText="1"/>
    </xf>
    <xf numFmtId="0" fontId="26" fillId="9" borderId="4" xfId="76" applyNumberFormat="1" applyFont="1" applyFill="1" applyBorder="1" applyAlignment="1">
      <alignment horizontal="center" vertical="center" wrapText="1"/>
    </xf>
    <xf numFmtId="0" fontId="26" fillId="9" borderId="5" xfId="76" applyNumberFormat="1" applyFont="1" applyFill="1" applyBorder="1" applyAlignment="1">
      <alignment horizontal="center" vertical="center" wrapText="1"/>
    </xf>
    <xf numFmtId="222" fontId="28" fillId="0" borderId="17" xfId="76" applyNumberFormat="1" applyFont="1" applyFill="1" applyBorder="1" applyAlignment="1">
      <alignment horizontal="right" vertical="center" wrapText="1"/>
    </xf>
    <xf numFmtId="219" fontId="27" fillId="0" borderId="21" xfId="76" applyNumberFormat="1" applyFont="1" applyFill="1" applyBorder="1" applyAlignment="1"/>
    <xf numFmtId="4" fontId="28" fillId="5" borderId="22" xfId="77" applyNumberFormat="1" applyFont="1" applyFill="1" applyBorder="1"/>
    <xf numFmtId="218" fontId="12" fillId="12" borderId="1" xfId="77" applyNumberFormat="1" applyFill="1" applyBorder="1" applyAlignment="1">
      <alignment horizontal="left" vertical="center" wrapText="1"/>
    </xf>
    <xf numFmtId="223" fontId="39" fillId="11" borderId="0" xfId="1" applyNumberFormat="1" applyFont="1" applyFill="1"/>
    <xf numFmtId="224" fontId="27" fillId="0" borderId="21" xfId="76" applyNumberFormat="1" applyFont="1" applyFill="1" applyBorder="1" applyAlignment="1"/>
    <xf numFmtId="224" fontId="27" fillId="0" borderId="1" xfId="76" applyNumberFormat="1" applyFont="1" applyFill="1" applyBorder="1" applyAlignment="1"/>
    <xf numFmtId="224" fontId="27" fillId="4" borderId="1" xfId="76" applyNumberFormat="1" applyFont="1" applyFill="1" applyBorder="1" applyAlignment="1"/>
    <xf numFmtId="224" fontId="27" fillId="13" borderId="1" xfId="76" applyNumberFormat="1" applyFont="1" applyFill="1" applyBorder="1" applyAlignment="1"/>
    <xf numFmtId="167" fontId="14" fillId="0" borderId="0" xfId="1" applyFont="1" applyAlignment="1"/>
    <xf numFmtId="165" fontId="7" fillId="4" borderId="1" xfId="3" applyNumberFormat="1" applyFill="1" applyBorder="1" applyAlignment="1">
      <alignment horizontal="center" vertical="center"/>
    </xf>
    <xf numFmtId="49" fontId="7" fillId="0" borderId="0" xfId="761" applyNumberFormat="1"/>
    <xf numFmtId="0" fontId="7" fillId="0" borderId="0" xfId="761"/>
    <xf numFmtId="0" fontId="45" fillId="0" borderId="0" xfId="761" applyFont="1"/>
    <xf numFmtId="3" fontId="7" fillId="0" borderId="0" xfId="761" applyNumberFormat="1"/>
    <xf numFmtId="0" fontId="14" fillId="0" borderId="1" xfId="761" applyFont="1" applyBorder="1" applyAlignment="1">
      <alignment horizontal="center" vertical="top"/>
    </xf>
    <xf numFmtId="0" fontId="14" fillId="0" borderId="1" xfId="761" applyFont="1" applyBorder="1" applyAlignment="1">
      <alignment vertical="top" wrapText="1"/>
    </xf>
    <xf numFmtId="43" fontId="7" fillId="0" borderId="1" xfId="761" applyNumberFormat="1" applyBorder="1" applyAlignment="1">
      <alignment horizontal="center" vertical="center"/>
    </xf>
    <xf numFmtId="43" fontId="7" fillId="0" borderId="0" xfId="761" applyNumberFormat="1"/>
    <xf numFmtId="0" fontId="7" fillId="0" borderId="1" xfId="761" applyBorder="1" applyAlignment="1">
      <alignment vertical="top" wrapText="1"/>
    </xf>
    <xf numFmtId="0" fontId="7" fillId="0" borderId="1" xfId="761" applyBorder="1" applyAlignment="1">
      <alignment vertical="top"/>
    </xf>
    <xf numFmtId="0" fontId="45" fillId="0" borderId="0" xfId="761" applyFont="1" applyAlignment="1">
      <alignment horizontal="center" wrapText="1"/>
    </xf>
    <xf numFmtId="3" fontId="44" fillId="0" borderId="0" xfId="80" applyNumberFormat="1" applyFont="1" applyAlignment="1">
      <alignment horizontal="left" indent="1"/>
    </xf>
    <xf numFmtId="3" fontId="43" fillId="0" borderId="7" xfId="79" applyNumberFormat="1" applyFont="1" applyBorder="1" applyAlignment="1">
      <alignment horizontal="left" vertical="center" wrapText="1"/>
    </xf>
    <xf numFmtId="218" fontId="27" fillId="45" borderId="15" xfId="77" applyNumberFormat="1" applyFont="1" applyFill="1" applyBorder="1" applyAlignment="1">
      <alignment horizontal="left"/>
    </xf>
    <xf numFmtId="222" fontId="28" fillId="8" borderId="1" xfId="76" applyNumberFormat="1" applyFont="1" applyFill="1" applyBorder="1" applyAlignment="1">
      <alignment horizontal="right" vertical="center" wrapText="1"/>
    </xf>
    <xf numFmtId="219" fontId="27" fillId="8" borderId="1" xfId="76" applyNumberFormat="1" applyFont="1" applyFill="1" applyBorder="1" applyAlignment="1"/>
    <xf numFmtId="4" fontId="28" fillId="8" borderId="16" xfId="77" applyNumberFormat="1" applyFont="1" applyFill="1" applyBorder="1"/>
    <xf numFmtId="164" fontId="39" fillId="46" borderId="0" xfId="0" applyFont="1" applyFill="1"/>
    <xf numFmtId="4" fontId="39" fillId="46" borderId="0" xfId="0" applyNumberFormat="1" applyFont="1" applyFill="1"/>
    <xf numFmtId="4" fontId="0" fillId="46" borderId="0" xfId="0" applyNumberFormat="1" applyFill="1"/>
    <xf numFmtId="164" fontId="0" fillId="46" borderId="0" xfId="0" applyFill="1"/>
    <xf numFmtId="222" fontId="28" fillId="4" borderId="17" xfId="76" applyNumberFormat="1" applyFont="1" applyFill="1" applyBorder="1" applyAlignment="1">
      <alignment horizontal="right" vertical="center" wrapText="1"/>
    </xf>
    <xf numFmtId="218" fontId="12" fillId="45" borderId="1" xfId="77" applyNumberFormat="1" applyFill="1" applyBorder="1" applyAlignment="1">
      <alignment horizontal="left" vertical="center" wrapText="1"/>
    </xf>
    <xf numFmtId="222" fontId="28" fillId="8" borderId="17" xfId="76" applyNumberFormat="1" applyFont="1" applyFill="1" applyBorder="1" applyAlignment="1">
      <alignment horizontal="right" vertical="center" wrapText="1"/>
    </xf>
    <xf numFmtId="4" fontId="67" fillId="7" borderId="7" xfId="0" applyNumberFormat="1" applyFont="1" applyBorder="1" applyAlignment="1">
      <alignment horizontal="center" vertical="center"/>
    </xf>
    <xf numFmtId="164" fontId="67" fillId="7" borderId="0" xfId="0" applyFont="1"/>
    <xf numFmtId="167" fontId="67" fillId="7" borderId="0" xfId="1" applyFont="1" applyFill="1" applyAlignment="1">
      <alignment horizontal="center" vertical="center"/>
    </xf>
    <xf numFmtId="167" fontId="67" fillId="7" borderId="7" xfId="1" applyFont="1" applyFill="1" applyBorder="1" applyAlignment="1">
      <alignment horizontal="center" vertical="center"/>
    </xf>
    <xf numFmtId="10" fontId="67" fillId="7" borderId="0" xfId="1" applyNumberFormat="1" applyFont="1" applyFill="1" applyAlignment="1">
      <alignment horizontal="center"/>
    </xf>
    <xf numFmtId="164" fontId="69" fillId="7" borderId="0" xfId="0" applyFont="1"/>
    <xf numFmtId="0" fontId="9" fillId="3" borderId="0" xfId="2" applyFont="1" applyFill="1" applyAlignment="1">
      <alignment vertical="center" wrapText="1"/>
    </xf>
    <xf numFmtId="0" fontId="9" fillId="3" borderId="0" xfId="2" applyFont="1" applyFill="1" applyAlignment="1">
      <alignment vertical="center"/>
    </xf>
    <xf numFmtId="219" fontId="12" fillId="4" borderId="1" xfId="76" applyNumberFormat="1" applyFont="1" applyFill="1" applyBorder="1" applyAlignment="1"/>
    <xf numFmtId="218" fontId="28" fillId="4" borderId="1" xfId="77" applyNumberFormat="1" applyFont="1" applyFill="1" applyBorder="1"/>
    <xf numFmtId="4" fontId="12" fillId="4" borderId="16" xfId="77" applyNumberFormat="1" applyFill="1" applyBorder="1" applyAlignment="1">
      <alignment horizontal="center"/>
    </xf>
    <xf numFmtId="214" fontId="7" fillId="4" borderId="0" xfId="76" applyNumberFormat="1" applyFont="1" applyFill="1" applyBorder="1"/>
    <xf numFmtId="0" fontId="7" fillId="4" borderId="1" xfId="761" applyFill="1" applyBorder="1" applyAlignment="1">
      <alignment vertical="top" wrapText="1"/>
    </xf>
    <xf numFmtId="0" fontId="7" fillId="0" borderId="0" xfId="858" applyAlignment="1">
      <alignment vertical="center" wrapText="1"/>
    </xf>
    <xf numFmtId="0" fontId="7" fillId="0" borderId="0" xfId="858"/>
    <xf numFmtId="0" fontId="7" fillId="0" borderId="0" xfId="858" applyAlignment="1">
      <alignment horizontal="left" indent="9"/>
    </xf>
    <xf numFmtId="0" fontId="7" fillId="0" borderId="0" xfId="858" applyAlignment="1">
      <alignment wrapText="1"/>
    </xf>
    <xf numFmtId="0" fontId="7" fillId="0" borderId="1" xfId="858" applyBorder="1" applyAlignment="1">
      <alignment horizontal="center" vertical="top" wrapText="1"/>
    </xf>
    <xf numFmtId="43" fontId="7" fillId="0" borderId="1" xfId="858" applyNumberFormat="1" applyBorder="1"/>
    <xf numFmtId="9" fontId="7" fillId="0" borderId="0" xfId="859" applyFont="1" applyBorder="1"/>
    <xf numFmtId="43" fontId="7" fillId="0" borderId="0" xfId="858" applyNumberFormat="1"/>
    <xf numFmtId="10" fontId="7" fillId="0" borderId="1" xfId="859" applyNumberFormat="1" applyFont="1" applyBorder="1"/>
    <xf numFmtId="0" fontId="7" fillId="0" borderId="41" xfId="858" applyBorder="1" applyAlignment="1">
      <alignment vertical="center" wrapText="1"/>
    </xf>
    <xf numFmtId="167" fontId="0" fillId="7" borderId="0" xfId="1" applyFont="1" applyFill="1"/>
    <xf numFmtId="3" fontId="68" fillId="0" borderId="0" xfId="80" applyNumberFormat="1" applyFont="1" applyAlignment="1">
      <alignment horizontal="left" indent="1"/>
    </xf>
    <xf numFmtId="167" fontId="0" fillId="11" borderId="0" xfId="1" applyFont="1" applyFill="1"/>
    <xf numFmtId="167" fontId="0" fillId="46" borderId="0" xfId="1" applyFont="1" applyFill="1"/>
    <xf numFmtId="218" fontId="39" fillId="45" borderId="15" xfId="77" applyNumberFormat="1" applyFont="1" applyFill="1" applyBorder="1" applyAlignment="1">
      <alignment horizontal="left"/>
    </xf>
    <xf numFmtId="222" fontId="39" fillId="8" borderId="1" xfId="76" applyNumberFormat="1" applyFont="1" applyFill="1" applyBorder="1" applyAlignment="1">
      <alignment horizontal="right" vertical="center" wrapText="1"/>
    </xf>
    <xf numFmtId="219" fontId="39" fillId="8" borderId="1" xfId="76" applyNumberFormat="1" applyFont="1" applyFill="1" applyBorder="1" applyAlignment="1"/>
    <xf numFmtId="4" fontId="39" fillId="8" borderId="16" xfId="77" applyNumberFormat="1" applyFont="1" applyFill="1" applyBorder="1"/>
    <xf numFmtId="167" fontId="39" fillId="46" borderId="0" xfId="1" applyFont="1" applyFill="1"/>
    <xf numFmtId="164" fontId="13" fillId="6" borderId="0" xfId="0" applyFont="1" applyFill="1" applyProtection="1">
      <protection locked="0"/>
    </xf>
    <xf numFmtId="3" fontId="41" fillId="7" borderId="7" xfId="0" applyNumberFormat="1" applyFont="1" applyBorder="1" applyAlignment="1">
      <alignment horizontal="center" vertical="center"/>
    </xf>
    <xf numFmtId="3" fontId="41" fillId="7" borderId="0" xfId="1" applyNumberFormat="1" applyFont="1" applyFill="1" applyAlignment="1">
      <alignment horizontal="center" vertical="center"/>
    </xf>
    <xf numFmtId="3" fontId="41" fillId="7" borderId="0" xfId="0" applyNumberFormat="1" applyFont="1" applyAlignment="1">
      <alignment horizontal="center" vertical="center"/>
    </xf>
    <xf numFmtId="3" fontId="41" fillId="7" borderId="0" xfId="0" applyNumberFormat="1" applyFont="1"/>
    <xf numFmtId="3" fontId="41" fillId="7" borderId="7" xfId="1" applyNumberFormat="1" applyFont="1" applyFill="1" applyBorder="1" applyAlignment="1">
      <alignment horizontal="center" vertical="center"/>
    </xf>
    <xf numFmtId="3" fontId="41" fillId="7" borderId="0" xfId="1" applyNumberFormat="1" applyFont="1" applyFill="1"/>
    <xf numFmtId="3" fontId="67" fillId="7" borderId="7" xfId="1" applyNumberFormat="1" applyFont="1" applyFill="1" applyBorder="1" applyAlignment="1">
      <alignment horizontal="center" vertical="center"/>
    </xf>
    <xf numFmtId="3" fontId="67" fillId="7" borderId="0" xfId="1" applyNumberFormat="1" applyFont="1" applyFill="1" applyAlignment="1">
      <alignment horizontal="center" vertical="center"/>
    </xf>
    <xf numFmtId="3" fontId="42" fillId="7" borderId="0" xfId="0" applyNumberFormat="1" applyFont="1"/>
    <xf numFmtId="3" fontId="41" fillId="7" borderId="0" xfId="1" applyNumberFormat="1" applyFont="1" applyFill="1" applyAlignment="1">
      <alignment horizontal="center"/>
    </xf>
    <xf numFmtId="223" fontId="41" fillId="7" borderId="0" xfId="1" applyNumberFormat="1" applyFont="1" applyFill="1" applyAlignment="1">
      <alignment horizontal="center" vertical="center"/>
    </xf>
    <xf numFmtId="167" fontId="17" fillId="46" borderId="0" xfId="1" applyFont="1" applyFill="1"/>
    <xf numFmtId="0" fontId="7" fillId="0" borderId="0" xfId="858" applyAlignment="1">
      <alignment horizontal="center"/>
    </xf>
    <xf numFmtId="0" fontId="7" fillId="0" borderId="0" xfId="858" applyAlignment="1">
      <alignment horizontal="center" wrapText="1"/>
    </xf>
    <xf numFmtId="0" fontId="7" fillId="0" borderId="1" xfId="858" applyBorder="1" applyAlignment="1">
      <alignment horizontal="center" wrapText="1"/>
    </xf>
    <xf numFmtId="0" fontId="7" fillId="0" borderId="37" xfId="858" applyBorder="1" applyAlignment="1">
      <alignment horizontal="center" vertical="center" wrapText="1"/>
    </xf>
    <xf numFmtId="0" fontId="7" fillId="0" borderId="36" xfId="858" applyBorder="1" applyAlignment="1">
      <alignment horizontal="center" vertical="center" wrapText="1"/>
    </xf>
    <xf numFmtId="0" fontId="7" fillId="0" borderId="0" xfId="858" applyAlignment="1">
      <alignment horizontal="center" vertical="center" wrapText="1"/>
    </xf>
    <xf numFmtId="0" fontId="7" fillId="0" borderId="38" xfId="858" applyBorder="1" applyAlignment="1">
      <alignment horizontal="center" vertical="center" wrapText="1"/>
    </xf>
    <xf numFmtId="0" fontId="7" fillId="0" borderId="0" xfId="858" applyAlignment="1">
      <alignment horizontal="center" vertical="top"/>
    </xf>
    <xf numFmtId="218" fontId="0" fillId="7" borderId="0" xfId="0" applyNumberFormat="1"/>
    <xf numFmtId="164" fontId="0" fillId="7" borderId="1" xfId="0" applyBorder="1" applyAlignment="1">
      <alignment wrapText="1"/>
    </xf>
    <xf numFmtId="167" fontId="0" fillId="7" borderId="1" xfId="1" applyFont="1" applyFill="1" applyBorder="1"/>
    <xf numFmtId="164" fontId="0" fillId="7" borderId="1" xfId="0" applyBorder="1"/>
    <xf numFmtId="218" fontId="0" fillId="7" borderId="1" xfId="0" applyNumberFormat="1" applyBorder="1"/>
    <xf numFmtId="164" fontId="0" fillId="7" borderId="3" xfId="0" applyBorder="1"/>
    <xf numFmtId="164" fontId="31" fillId="7" borderId="4" xfId="0" applyFont="1" applyBorder="1" applyAlignment="1">
      <alignment horizontal="center"/>
    </xf>
    <xf numFmtId="164" fontId="31" fillId="7" borderId="5" xfId="0" applyFont="1" applyBorder="1" applyAlignment="1">
      <alignment horizontal="center"/>
    </xf>
    <xf numFmtId="164" fontId="0" fillId="7" borderId="15" xfId="0" applyBorder="1" applyAlignment="1">
      <alignment wrapText="1"/>
    </xf>
    <xf numFmtId="167" fontId="0" fillId="7" borderId="16" xfId="1" applyFont="1" applyFill="1" applyBorder="1"/>
    <xf numFmtId="164" fontId="0" fillId="7" borderId="15" xfId="0" applyBorder="1"/>
    <xf numFmtId="164" fontId="0" fillId="7" borderId="44" xfId="0" applyBorder="1"/>
    <xf numFmtId="167" fontId="0" fillId="7" borderId="45" xfId="1" applyFont="1" applyFill="1" applyBorder="1"/>
    <xf numFmtId="164" fontId="0" fillId="7" borderId="45" xfId="0" applyBorder="1"/>
    <xf numFmtId="218" fontId="0" fillId="7" borderId="45" xfId="0" applyNumberFormat="1" applyBorder="1"/>
    <xf numFmtId="164" fontId="0" fillId="7" borderId="45" xfId="0" applyBorder="1" applyAlignment="1">
      <alignment wrapText="1"/>
    </xf>
    <xf numFmtId="167" fontId="0" fillId="7" borderId="46" xfId="1" applyFont="1" applyFill="1" applyBorder="1"/>
    <xf numFmtId="164" fontId="0" fillId="7" borderId="1" xfId="0" applyBorder="1" applyAlignment="1">
      <alignment horizontal="center"/>
    </xf>
    <xf numFmtId="164" fontId="0" fillId="7" borderId="45" xfId="0" applyBorder="1" applyAlignment="1">
      <alignment horizontal="center"/>
    </xf>
    <xf numFmtId="218" fontId="5" fillId="0" borderId="0" xfId="871" applyNumberFormat="1"/>
    <xf numFmtId="0" fontId="5" fillId="0" borderId="0" xfId="871"/>
    <xf numFmtId="43" fontId="0" fillId="0" borderId="0" xfId="872" applyFont="1"/>
    <xf numFmtId="218" fontId="70" fillId="0" borderId="0" xfId="871" applyNumberFormat="1" applyFont="1"/>
    <xf numFmtId="43" fontId="5" fillId="0" borderId="0" xfId="871" applyNumberFormat="1"/>
    <xf numFmtId="218" fontId="71" fillId="0" borderId="0" xfId="871" applyNumberFormat="1" applyFont="1"/>
    <xf numFmtId="43" fontId="72" fillId="0" borderId="0" xfId="872" applyFont="1"/>
    <xf numFmtId="0" fontId="71" fillId="0" borderId="0" xfId="871" applyFont="1"/>
    <xf numFmtId="10" fontId="0" fillId="0" borderId="0" xfId="873" applyNumberFormat="1" applyFont="1"/>
    <xf numFmtId="10" fontId="39" fillId="0" borderId="0" xfId="872" applyNumberFormat="1" applyFont="1"/>
    <xf numFmtId="218" fontId="0" fillId="0" borderId="0" xfId="871" applyNumberFormat="1" applyFont="1"/>
    <xf numFmtId="43" fontId="0" fillId="8" borderId="0" xfId="872" applyFont="1" applyFill="1"/>
    <xf numFmtId="43" fontId="0" fillId="4" borderId="0" xfId="872" applyFont="1" applyFill="1"/>
    <xf numFmtId="218" fontId="70" fillId="0" borderId="1" xfId="871" applyNumberFormat="1" applyFont="1" applyBorder="1" applyAlignment="1">
      <alignment horizontal="center"/>
    </xf>
    <xf numFmtId="0" fontId="70" fillId="0" borderId="1" xfId="871" applyFont="1" applyBorder="1" applyAlignment="1">
      <alignment horizontal="center"/>
    </xf>
    <xf numFmtId="43" fontId="70" fillId="0" borderId="1" xfId="872" applyFont="1" applyBorder="1" applyAlignment="1">
      <alignment horizontal="center"/>
    </xf>
    <xf numFmtId="0" fontId="70" fillId="0" borderId="1" xfId="872" applyNumberFormat="1" applyFont="1" applyBorder="1" applyAlignment="1">
      <alignment horizontal="center"/>
    </xf>
    <xf numFmtId="218" fontId="5" fillId="0" borderId="1" xfId="871" applyNumberFormat="1" applyBorder="1"/>
    <xf numFmtId="43" fontId="0" fillId="0" borderId="1" xfId="872" applyFont="1" applyBorder="1"/>
    <xf numFmtId="43" fontId="5" fillId="0" borderId="1" xfId="871" applyNumberFormat="1" applyBorder="1"/>
    <xf numFmtId="0" fontId="5" fillId="0" borderId="1" xfId="871" applyBorder="1"/>
    <xf numFmtId="43" fontId="5" fillId="0" borderId="1" xfId="872" applyBorder="1"/>
    <xf numFmtId="0" fontId="5" fillId="4" borderId="0" xfId="871" applyFill="1"/>
    <xf numFmtId="218" fontId="5" fillId="4" borderId="1" xfId="871" applyNumberFormat="1" applyFill="1" applyBorder="1"/>
    <xf numFmtId="43" fontId="0" fillId="4" borderId="1" xfId="872" applyFont="1" applyFill="1" applyBorder="1"/>
    <xf numFmtId="43" fontId="5" fillId="4" borderId="1" xfId="871" applyNumberFormat="1" applyFill="1" applyBorder="1"/>
    <xf numFmtId="43" fontId="5" fillId="4" borderId="1" xfId="872" applyFill="1" applyBorder="1"/>
    <xf numFmtId="218" fontId="70" fillId="4" borderId="1" xfId="871" applyNumberFormat="1" applyFont="1" applyFill="1" applyBorder="1"/>
    <xf numFmtId="43" fontId="70" fillId="4" borderId="1" xfId="871" applyNumberFormat="1" applyFont="1" applyFill="1" applyBorder="1"/>
    <xf numFmtId="218" fontId="0" fillId="4" borderId="0" xfId="871" applyNumberFormat="1" applyFont="1" applyFill="1"/>
    <xf numFmtId="218" fontId="5" fillId="4" borderId="0" xfId="871" applyNumberFormat="1" applyFill="1"/>
    <xf numFmtId="43" fontId="5" fillId="4" borderId="0" xfId="871" applyNumberFormat="1" applyFill="1"/>
    <xf numFmtId="0" fontId="5" fillId="8" borderId="0" xfId="871" applyFill="1"/>
    <xf numFmtId="218" fontId="5" fillId="8" borderId="1" xfId="871" applyNumberFormat="1" applyFill="1" applyBorder="1"/>
    <xf numFmtId="43" fontId="5" fillId="8" borderId="1" xfId="871" applyNumberFormat="1" applyFill="1" applyBorder="1"/>
    <xf numFmtId="43" fontId="5" fillId="8" borderId="1" xfId="872" applyFill="1" applyBorder="1"/>
    <xf numFmtId="43" fontId="0" fillId="8" borderId="1" xfId="872" applyFont="1" applyFill="1" applyBorder="1"/>
    <xf numFmtId="43" fontId="5" fillId="8" borderId="0" xfId="871" applyNumberFormat="1" applyFill="1"/>
    <xf numFmtId="0" fontId="45" fillId="0" borderId="0" xfId="858" applyFont="1" applyAlignment="1">
      <alignment wrapText="1"/>
    </xf>
    <xf numFmtId="0" fontId="45" fillId="0" borderId="0" xfId="761" applyFont="1" applyAlignment="1">
      <alignment wrapText="1"/>
    </xf>
    <xf numFmtId="0" fontId="76" fillId="0" borderId="0" xfId="858" applyFont="1" applyAlignment="1">
      <alignment horizontal="center" vertical="top"/>
    </xf>
    <xf numFmtId="0" fontId="76" fillId="0" borderId="0" xfId="858" applyFont="1"/>
    <xf numFmtId="0" fontId="76" fillId="0" borderId="0" xfId="858" applyFont="1" applyAlignment="1">
      <alignment horizontal="center"/>
    </xf>
    <xf numFmtId="0" fontId="77" fillId="0" borderId="1" xfId="858" applyFont="1" applyBorder="1" applyAlignment="1">
      <alignment horizontal="center" vertical="top" wrapText="1"/>
    </xf>
    <xf numFmtId="0" fontId="77" fillId="0" borderId="1" xfId="858" applyFont="1" applyBorder="1" applyAlignment="1">
      <alignment horizontal="center" vertical="center" wrapText="1"/>
    </xf>
    <xf numFmtId="0" fontId="77" fillId="0" borderId="1" xfId="858" applyFont="1" applyBorder="1" applyAlignment="1">
      <alignment horizontal="center" wrapText="1"/>
    </xf>
    <xf numFmtId="0" fontId="77" fillId="0" borderId="1" xfId="858" applyFont="1" applyBorder="1"/>
    <xf numFmtId="43" fontId="77" fillId="0" borderId="1" xfId="858" applyNumberFormat="1" applyFont="1" applyBorder="1"/>
    <xf numFmtId="0" fontId="77" fillId="0" borderId="1" xfId="858" applyFont="1" applyBorder="1" applyAlignment="1" applyProtection="1">
      <alignment wrapText="1"/>
      <protection locked="0"/>
    </xf>
    <xf numFmtId="10" fontId="77" fillId="0" borderId="1" xfId="859" applyNumberFormat="1" applyFont="1" applyBorder="1"/>
    <xf numFmtId="0" fontId="77" fillId="0" borderId="0" xfId="858" applyFont="1" applyAlignment="1">
      <alignment vertical="center" wrapText="1"/>
    </xf>
    <xf numFmtId="0" fontId="77" fillId="0" borderId="0" xfId="858" applyFont="1"/>
    <xf numFmtId="0" fontId="77" fillId="0" borderId="1" xfId="858" applyFont="1" applyBorder="1" applyAlignment="1">
      <alignment horizontal="center"/>
    </xf>
    <xf numFmtId="0" fontId="77" fillId="0" borderId="0" xfId="858" applyFont="1" applyAlignment="1">
      <alignment horizontal="center"/>
    </xf>
    <xf numFmtId="43" fontId="77" fillId="0" borderId="0" xfId="858" applyNumberFormat="1" applyFont="1"/>
    <xf numFmtId="10" fontId="77" fillId="0" borderId="0" xfId="859" applyNumberFormat="1" applyFont="1" applyBorder="1"/>
    <xf numFmtId="0" fontId="77" fillId="0" borderId="0" xfId="761" applyFont="1" applyAlignment="1">
      <alignment horizontal="center" vertical="top"/>
    </xf>
    <xf numFmtId="0" fontId="77" fillId="0" borderId="0" xfId="761" applyFont="1"/>
    <xf numFmtId="43" fontId="77" fillId="0" borderId="0" xfId="761" applyNumberFormat="1" applyFont="1"/>
    <xf numFmtId="0" fontId="77" fillId="0" borderId="0" xfId="761" applyFont="1" applyAlignment="1">
      <alignment horizontal="center"/>
    </xf>
    <xf numFmtId="0" fontId="77" fillId="0" borderId="0" xfId="761" quotePrefix="1" applyFont="1" applyAlignment="1">
      <alignment horizontal="center"/>
    </xf>
    <xf numFmtId="43" fontId="77" fillId="0" borderId="0" xfId="858" applyNumberFormat="1" applyFont="1" applyAlignment="1">
      <alignment horizontal="center"/>
    </xf>
    <xf numFmtId="10" fontId="0" fillId="7" borderId="0" xfId="876" applyNumberFormat="1" applyFont="1" applyFill="1"/>
    <xf numFmtId="0" fontId="45" fillId="0" borderId="0" xfId="858" applyFont="1" applyAlignment="1">
      <alignment vertical="center" wrapText="1"/>
    </xf>
    <xf numFmtId="0" fontId="38" fillId="5" borderId="0" xfId="78" applyFont="1" applyFill="1"/>
    <xf numFmtId="167" fontId="39" fillId="11" borderId="0" xfId="1" applyFont="1" applyFill="1"/>
    <xf numFmtId="218" fontId="78" fillId="7" borderId="0" xfId="0" applyNumberFormat="1" applyFont="1"/>
    <xf numFmtId="167" fontId="0" fillId="7" borderId="0" xfId="1" applyFont="1" applyFill="1" applyAlignment="1">
      <alignment horizontal="right"/>
    </xf>
    <xf numFmtId="218" fontId="31" fillId="7" borderId="12" xfId="0" applyNumberFormat="1" applyFont="1" applyBorder="1" applyAlignment="1">
      <alignment horizontal="center" vertical="center"/>
    </xf>
    <xf numFmtId="218" fontId="31" fillId="7" borderId="13" xfId="0" applyNumberFormat="1" applyFont="1" applyBorder="1" applyAlignment="1">
      <alignment horizontal="center" vertical="center"/>
    </xf>
    <xf numFmtId="164" fontId="31" fillId="7" borderId="13" xfId="0" applyFont="1" applyBorder="1" applyAlignment="1">
      <alignment horizontal="center" vertical="center" wrapText="1"/>
    </xf>
    <xf numFmtId="218" fontId="31" fillId="7" borderId="14" xfId="0" applyNumberFormat="1" applyFont="1" applyBorder="1" applyAlignment="1">
      <alignment horizontal="center" vertical="center"/>
    </xf>
    <xf numFmtId="3" fontId="31" fillId="7" borderId="15" xfId="0" applyNumberFormat="1" applyFont="1" applyBorder="1" applyAlignment="1">
      <alignment horizontal="center"/>
    </xf>
    <xf numFmtId="3" fontId="31" fillId="7" borderId="1" xfId="0" applyNumberFormat="1" applyFont="1" applyBorder="1" applyAlignment="1">
      <alignment horizontal="center"/>
    </xf>
    <xf numFmtId="3" fontId="31" fillId="7" borderId="1" xfId="0" applyNumberFormat="1" applyFont="1" applyBorder="1" applyAlignment="1">
      <alignment horizontal="center" wrapText="1"/>
    </xf>
    <xf numFmtId="3" fontId="31" fillId="7" borderId="16" xfId="0" applyNumberFormat="1" applyFont="1" applyBorder="1" applyAlignment="1">
      <alignment horizontal="center"/>
    </xf>
    <xf numFmtId="218" fontId="0" fillId="7" borderId="47" xfId="0" applyNumberFormat="1" applyBorder="1"/>
    <xf numFmtId="164" fontId="0" fillId="7" borderId="48" xfId="0" applyBorder="1"/>
    <xf numFmtId="167" fontId="0" fillId="7" borderId="0" xfId="1" applyFont="1" applyFill="1" applyBorder="1"/>
    <xf numFmtId="167" fontId="0" fillId="7" borderId="48" xfId="1" applyFont="1" applyFill="1" applyBorder="1"/>
    <xf numFmtId="218" fontId="0" fillId="7" borderId="15" xfId="0" applyNumberFormat="1" applyBorder="1" applyAlignment="1">
      <alignment horizontal="left"/>
    </xf>
    <xf numFmtId="218" fontId="0" fillId="11" borderId="15" xfId="0" applyNumberFormat="1" applyFill="1" applyBorder="1" applyAlignment="1">
      <alignment horizontal="left"/>
    </xf>
    <xf numFmtId="167" fontId="0" fillId="11" borderId="1" xfId="1" applyFont="1" applyFill="1" applyBorder="1"/>
    <xf numFmtId="167" fontId="0" fillId="11" borderId="16" xfId="1" applyFont="1" applyFill="1" applyBorder="1"/>
    <xf numFmtId="167" fontId="0" fillId="11" borderId="16" xfId="1" applyFont="1" applyFill="1" applyBorder="1" applyAlignment="1">
      <alignment horizontal="right"/>
    </xf>
    <xf numFmtId="218" fontId="0" fillId="46" borderId="15" xfId="0" applyNumberFormat="1" applyFill="1" applyBorder="1" applyAlignment="1">
      <alignment horizontal="left"/>
    </xf>
    <xf numFmtId="167" fontId="0" fillId="46" borderId="1" xfId="1" applyFont="1" applyFill="1" applyBorder="1"/>
    <xf numFmtId="167" fontId="0" fillId="46" borderId="16" xfId="1" applyFont="1" applyFill="1" applyBorder="1" applyAlignment="1">
      <alignment horizontal="right"/>
    </xf>
    <xf numFmtId="218" fontId="0" fillId="11" borderId="1" xfId="0" applyNumberFormat="1" applyFill="1" applyBorder="1"/>
    <xf numFmtId="218" fontId="0" fillId="46" borderId="1" xfId="0" applyNumberFormat="1" applyFill="1" applyBorder="1"/>
    <xf numFmtId="218" fontId="31" fillId="46" borderId="44" xfId="0" applyNumberFormat="1" applyFont="1" applyFill="1" applyBorder="1"/>
    <xf numFmtId="218" fontId="31" fillId="46" borderId="45" xfId="0" applyNumberFormat="1" applyFont="1" applyFill="1" applyBorder="1"/>
    <xf numFmtId="167" fontId="31" fillId="46" borderId="45" xfId="1" applyFont="1" applyFill="1" applyBorder="1"/>
    <xf numFmtId="167" fontId="31" fillId="46" borderId="46" xfId="1" applyFont="1" applyFill="1" applyBorder="1" applyAlignment="1">
      <alignment horizontal="right"/>
    </xf>
    <xf numFmtId="218" fontId="0" fillId="4" borderId="0" xfId="877" applyNumberFormat="1" applyFont="1" applyFill="1"/>
    <xf numFmtId="218" fontId="39" fillId="11" borderId="15" xfId="0" applyNumberFormat="1" applyFont="1" applyFill="1" applyBorder="1" applyAlignment="1">
      <alignment horizontal="left"/>
    </xf>
    <xf numFmtId="167" fontId="39" fillId="11" borderId="1" xfId="1" applyFont="1" applyFill="1" applyBorder="1"/>
    <xf numFmtId="167" fontId="39" fillId="11" borderId="16" xfId="1" applyFont="1" applyFill="1" applyBorder="1" applyAlignment="1">
      <alignment horizontal="right"/>
    </xf>
    <xf numFmtId="164" fontId="0" fillId="47" borderId="0" xfId="0" applyFill="1"/>
    <xf numFmtId="43" fontId="0" fillId="0" borderId="0" xfId="761" applyNumberFormat="1" applyFont="1"/>
    <xf numFmtId="4" fontId="5" fillId="8" borderId="1" xfId="1" applyNumberFormat="1" applyFont="1" applyFill="1" applyBorder="1"/>
    <xf numFmtId="4" fontId="5" fillId="0" borderId="1" xfId="872" applyNumberFormat="1" applyBorder="1"/>
    <xf numFmtId="4" fontId="0" fillId="0" borderId="1" xfId="872" applyNumberFormat="1" applyFont="1" applyBorder="1"/>
    <xf numFmtId="4" fontId="0" fillId="4" borderId="1" xfId="872" applyNumberFormat="1" applyFont="1" applyFill="1" applyBorder="1"/>
    <xf numFmtId="4" fontId="5" fillId="4" borderId="1" xfId="872" applyNumberFormat="1" applyFill="1" applyBorder="1"/>
    <xf numFmtId="4" fontId="5" fillId="8" borderId="1" xfId="871" applyNumberFormat="1" applyFill="1" applyBorder="1"/>
    <xf numFmtId="4" fontId="5" fillId="4" borderId="1" xfId="871" applyNumberFormat="1" applyFill="1" applyBorder="1"/>
    <xf numFmtId="4" fontId="70" fillId="4" borderId="1" xfId="1" applyNumberFormat="1" applyFont="1" applyFill="1" applyBorder="1"/>
    <xf numFmtId="167" fontId="5" fillId="0" borderId="0" xfId="1" applyFont="1"/>
    <xf numFmtId="43" fontId="7" fillId="4" borderId="1" xfId="761" applyNumberFormat="1" applyFill="1" applyBorder="1" applyAlignment="1">
      <alignment horizontal="center" vertical="center"/>
    </xf>
    <xf numFmtId="0" fontId="7" fillId="4" borderId="0" xfId="761" applyFill="1"/>
    <xf numFmtId="43" fontId="7" fillId="4" borderId="0" xfId="761" applyNumberFormat="1" applyFill="1"/>
    <xf numFmtId="3" fontId="7" fillId="4" borderId="0" xfId="761" applyNumberFormat="1" applyFill="1"/>
    <xf numFmtId="0" fontId="7" fillId="4" borderId="1" xfId="761" applyFill="1" applyBorder="1" applyAlignment="1">
      <alignment vertical="top"/>
    </xf>
    <xf numFmtId="218" fontId="2" fillId="0" borderId="0" xfId="871" applyNumberFormat="1" applyFont="1"/>
    <xf numFmtId="164" fontId="31" fillId="7" borderId="0" xfId="0" applyFont="1" applyAlignment="1">
      <alignment vertical="center"/>
    </xf>
    <xf numFmtId="167" fontId="31" fillId="7" borderId="0" xfId="1" applyFont="1" applyFill="1" applyAlignment="1">
      <alignment vertical="center"/>
    </xf>
    <xf numFmtId="167" fontId="31" fillId="7" borderId="0" xfId="1" applyFont="1" applyFill="1" applyAlignment="1">
      <alignment vertical="center" wrapText="1"/>
    </xf>
    <xf numFmtId="0" fontId="81" fillId="0" borderId="0" xfId="858" applyFont="1"/>
    <xf numFmtId="49" fontId="7" fillId="0" borderId="0" xfId="761" applyNumberFormat="1" applyAlignment="1">
      <alignment horizontal="center" vertical="center" wrapText="1"/>
    </xf>
    <xf numFmtId="43" fontId="7" fillId="0" borderId="0" xfId="761" applyNumberFormat="1" applyAlignment="1">
      <alignment horizontal="center" vertical="center"/>
    </xf>
    <xf numFmtId="43" fontId="7" fillId="0" borderId="37" xfId="761" applyNumberFormat="1" applyBorder="1" applyAlignment="1">
      <alignment horizontal="center" vertical="center"/>
    </xf>
    <xf numFmtId="0" fontId="80" fillId="0" borderId="0" xfId="761" applyFont="1" applyAlignment="1">
      <alignment vertical="top"/>
    </xf>
    <xf numFmtId="217" fontId="0" fillId="7" borderId="0" xfId="876" applyNumberFormat="1" applyFont="1" applyFill="1"/>
    <xf numFmtId="0" fontId="42" fillId="7" borderId="0" xfId="0" applyNumberFormat="1" applyFont="1" applyAlignment="1">
      <alignment horizontal="center"/>
    </xf>
    <xf numFmtId="218" fontId="1" fillId="0" borderId="0" xfId="871" applyNumberFormat="1" applyFont="1"/>
    <xf numFmtId="218" fontId="83" fillId="0" borderId="0" xfId="871" applyNumberFormat="1" applyFont="1"/>
    <xf numFmtId="43" fontId="12" fillId="0" borderId="0" xfId="872" applyFont="1"/>
    <xf numFmtId="43" fontId="83" fillId="0" borderId="0" xfId="871" applyNumberFormat="1" applyFont="1"/>
    <xf numFmtId="167" fontId="0" fillId="11" borderId="0" xfId="1" applyFont="1" applyFill="1" applyAlignment="1">
      <alignment horizontal="right" vertical="center"/>
    </xf>
    <xf numFmtId="0" fontId="9" fillId="3" borderId="0" xfId="2" applyFont="1" applyFill="1" applyAlignment="1">
      <alignment horizontal="left" vertical="center"/>
    </xf>
    <xf numFmtId="0" fontId="7" fillId="0" borderId="0" xfId="75" applyFont="1" applyAlignment="1">
      <alignment wrapText="1"/>
    </xf>
    <xf numFmtId="164" fontId="0" fillId="7" borderId="0" xfId="0"/>
    <xf numFmtId="164" fontId="40" fillId="7" borderId="0" xfId="0" applyFont="1" applyAlignment="1">
      <alignment horizontal="center"/>
    </xf>
    <xf numFmtId="0" fontId="12" fillId="0" borderId="0" xfId="75"/>
    <xf numFmtId="218" fontId="70" fillId="0" borderId="0" xfId="871" applyNumberFormat="1" applyFont="1" applyAlignment="1">
      <alignment horizontal="center"/>
    </xf>
    <xf numFmtId="0" fontId="9" fillId="3" borderId="0" xfId="2" applyFont="1" applyFill="1" applyAlignment="1">
      <alignment horizontal="center" vertical="center"/>
    </xf>
    <xf numFmtId="164" fontId="13" fillId="6" borderId="0" xfId="0" applyFont="1" applyFill="1" applyAlignment="1" applyProtection="1">
      <alignment horizontal="center" wrapText="1"/>
      <protection locked="0"/>
    </xf>
    <xf numFmtId="0" fontId="7" fillId="0" borderId="1" xfId="3" applyBorder="1" applyAlignment="1">
      <alignment horizontal="center" vertical="center" wrapText="1"/>
    </xf>
    <xf numFmtId="0" fontId="13" fillId="0" borderId="0" xfId="858" applyFont="1" applyAlignment="1">
      <alignment horizontal="center" wrapText="1"/>
    </xf>
    <xf numFmtId="0" fontId="45" fillId="0" borderId="0" xfId="858" applyFont="1" applyAlignment="1">
      <alignment horizontal="center" vertical="center" wrapText="1"/>
    </xf>
    <xf numFmtId="0" fontId="45" fillId="0" borderId="0" xfId="858" applyFont="1"/>
    <xf numFmtId="0" fontId="45" fillId="0" borderId="0" xfId="858" applyFont="1" applyAlignment="1">
      <alignment horizontal="center"/>
    </xf>
    <xf numFmtId="0" fontId="45" fillId="0" borderId="0" xfId="858" applyFont="1" applyAlignment="1">
      <alignment horizontal="center" wrapText="1"/>
    </xf>
    <xf numFmtId="0" fontId="77" fillId="0" borderId="1" xfId="858" applyFont="1" applyBorder="1" applyAlignment="1">
      <alignment horizontal="center" vertical="center" wrapText="1"/>
    </xf>
    <xf numFmtId="0" fontId="77" fillId="0" borderId="23" xfId="858" applyFont="1" applyBorder="1" applyAlignment="1">
      <alignment horizontal="center" vertical="center" wrapText="1"/>
    </xf>
    <xf numFmtId="0" fontId="77" fillId="0" borderId="21" xfId="858" applyFont="1" applyBorder="1" applyAlignment="1">
      <alignment horizontal="center" vertical="center" wrapText="1"/>
    </xf>
    <xf numFmtId="0" fontId="77" fillId="0" borderId="17" xfId="858" applyFont="1" applyBorder="1" applyAlignment="1">
      <alignment horizontal="center" vertical="center" wrapText="1"/>
    </xf>
    <xf numFmtId="0" fontId="77" fillId="0" borderId="1" xfId="858" applyFont="1" applyBorder="1" applyAlignment="1">
      <alignment horizontal="center" wrapText="1"/>
    </xf>
    <xf numFmtId="0" fontId="77" fillId="0" borderId="39" xfId="858" applyFont="1" applyBorder="1" applyAlignment="1">
      <alignment horizontal="center" vertical="center" wrapText="1"/>
    </xf>
    <xf numFmtId="0" fontId="77" fillId="0" borderId="37" xfId="858" applyFont="1" applyBorder="1" applyAlignment="1">
      <alignment horizontal="center" vertical="center" wrapText="1"/>
    </xf>
    <xf numFmtId="0" fontId="77" fillId="0" borderId="40" xfId="858" applyFont="1" applyBorder="1" applyAlignment="1">
      <alignment horizontal="center" vertical="center" wrapText="1"/>
    </xf>
    <xf numFmtId="0" fontId="77" fillId="0" borderId="36" xfId="858" applyFont="1" applyBorder="1" applyAlignment="1">
      <alignment horizontal="center" vertical="center" wrapText="1"/>
    </xf>
    <xf numFmtId="0" fontId="77" fillId="0" borderId="0" xfId="858" applyFont="1" applyAlignment="1">
      <alignment horizontal="center" vertical="center" wrapText="1"/>
    </xf>
    <xf numFmtId="0" fontId="77" fillId="0" borderId="41" xfId="858" applyFont="1" applyBorder="1" applyAlignment="1">
      <alignment horizontal="center" vertical="center" wrapText="1"/>
    </xf>
    <xf numFmtId="0" fontId="77" fillId="0" borderId="42" xfId="858" applyFont="1" applyBorder="1" applyAlignment="1">
      <alignment horizontal="center" vertical="center" wrapText="1"/>
    </xf>
    <xf numFmtId="0" fontId="77" fillId="0" borderId="38" xfId="858" applyFont="1" applyBorder="1" applyAlignment="1">
      <alignment horizontal="center" vertical="center" wrapText="1"/>
    </xf>
    <xf numFmtId="0" fontId="77" fillId="0" borderId="43" xfId="858" applyFont="1" applyBorder="1" applyAlignment="1">
      <alignment horizontal="center" vertical="center" wrapText="1"/>
    </xf>
    <xf numFmtId="0" fontId="76" fillId="0" borderId="0" xfId="858" applyFont="1" applyAlignment="1">
      <alignment horizontal="center"/>
    </xf>
    <xf numFmtId="0" fontId="76" fillId="0" borderId="0" xfId="858" applyFont="1" applyAlignment="1">
      <alignment horizontal="center" vertical="top"/>
    </xf>
    <xf numFmtId="49" fontId="7" fillId="0" borderId="23" xfId="761" applyNumberFormat="1" applyBorder="1" applyAlignment="1">
      <alignment horizontal="center" vertical="center"/>
    </xf>
    <xf numFmtId="49" fontId="7" fillId="0" borderId="21" xfId="761" applyNumberFormat="1" applyBorder="1" applyAlignment="1">
      <alignment horizontal="center" vertical="center"/>
    </xf>
    <xf numFmtId="49" fontId="7" fillId="0" borderId="17" xfId="761" applyNumberFormat="1" applyBorder="1" applyAlignment="1">
      <alignment horizontal="center" vertical="center"/>
    </xf>
    <xf numFmtId="49" fontId="7" fillId="4" borderId="23" xfId="761" applyNumberFormat="1" applyFill="1" applyBorder="1" applyAlignment="1">
      <alignment horizontal="center" vertical="center" wrapText="1"/>
    </xf>
    <xf numFmtId="49" fontId="7" fillId="4" borderId="21" xfId="761" applyNumberFormat="1" applyFill="1" applyBorder="1" applyAlignment="1">
      <alignment horizontal="center" vertical="center" wrapText="1"/>
    </xf>
    <xf numFmtId="49" fontId="7" fillId="4" borderId="17" xfId="761" applyNumberFormat="1" applyFill="1" applyBorder="1" applyAlignment="1">
      <alignment horizontal="center" vertical="center" wrapText="1"/>
    </xf>
    <xf numFmtId="49" fontId="7" fillId="0" borderId="23" xfId="761" applyNumberFormat="1" applyBorder="1" applyAlignment="1">
      <alignment horizontal="center" vertical="center" wrapText="1"/>
    </xf>
    <xf numFmtId="49" fontId="7" fillId="0" borderId="21" xfId="761" applyNumberFormat="1" applyBorder="1" applyAlignment="1">
      <alignment horizontal="center" vertical="center" wrapText="1"/>
    </xf>
    <xf numFmtId="49" fontId="7" fillId="0" borderId="17" xfId="761" applyNumberFormat="1" applyBorder="1" applyAlignment="1">
      <alignment horizontal="center" vertical="center" wrapText="1"/>
    </xf>
    <xf numFmtId="0" fontId="45" fillId="0" borderId="0" xfId="761" applyFont="1" applyAlignment="1">
      <alignment horizontal="center" wrapText="1"/>
    </xf>
    <xf numFmtId="49" fontId="14" fillId="0" borderId="1" xfId="761" applyNumberFormat="1" applyFont="1" applyBorder="1" applyAlignment="1">
      <alignment horizontal="center" vertical="center" wrapText="1"/>
    </xf>
    <xf numFmtId="0" fontId="14" fillId="0" borderId="23" xfId="761" applyFont="1" applyBorder="1" applyAlignment="1">
      <alignment horizontal="center" vertical="top" wrapText="1"/>
    </xf>
    <xf numFmtId="0" fontId="14" fillId="0" borderId="17" xfId="761" applyFont="1" applyBorder="1" applyAlignment="1">
      <alignment horizontal="center" vertical="top" wrapText="1"/>
    </xf>
    <xf numFmtId="0" fontId="14" fillId="0" borderId="33" xfId="761" applyFont="1" applyBorder="1" applyAlignment="1">
      <alignment horizontal="center" vertical="top"/>
    </xf>
    <xf numFmtId="0" fontId="14" fillId="0" borderId="34" xfId="761" applyFont="1" applyBorder="1" applyAlignment="1">
      <alignment horizontal="center" vertical="top"/>
    </xf>
    <xf numFmtId="0" fontId="14" fillId="0" borderId="35" xfId="761" applyFont="1" applyBorder="1" applyAlignment="1">
      <alignment horizontal="center" vertical="top"/>
    </xf>
    <xf numFmtId="0" fontId="14" fillId="0" borderId="1" xfId="761" applyFont="1" applyBorder="1" applyAlignment="1">
      <alignment horizontal="center" vertical="center" wrapText="1"/>
    </xf>
    <xf numFmtId="0" fontId="79" fillId="0" borderId="0" xfId="761" applyFont="1" applyAlignment="1">
      <alignment horizontal="center" wrapText="1"/>
    </xf>
    <xf numFmtId="0" fontId="77" fillId="0" borderId="0" xfId="761" applyFont="1" applyAlignment="1">
      <alignment horizontal="center"/>
    </xf>
    <xf numFmtId="0" fontId="77" fillId="0" borderId="37" xfId="761" applyFont="1" applyBorder="1" applyAlignment="1">
      <alignment horizontal="center"/>
    </xf>
    <xf numFmtId="0" fontId="80" fillId="0" borderId="37" xfId="761" applyFont="1" applyBorder="1" applyAlignment="1">
      <alignment horizontal="center" vertical="top" wrapText="1"/>
    </xf>
    <xf numFmtId="0" fontId="9" fillId="3" borderId="0" xfId="2" applyFont="1" applyFill="1" applyAlignment="1">
      <alignment horizontal="right" vertical="center"/>
    </xf>
    <xf numFmtId="3" fontId="43" fillId="0" borderId="7" xfId="79" applyNumberFormat="1" applyFont="1" applyBorder="1" applyAlignment="1">
      <alignment horizontal="left" vertical="center" wrapText="1"/>
    </xf>
    <xf numFmtId="3" fontId="44" fillId="0" borderId="0" xfId="80" applyNumberFormat="1" applyFont="1" applyAlignment="1">
      <alignment horizontal="left" indent="1"/>
    </xf>
    <xf numFmtId="3" fontId="43" fillId="0" borderId="7" xfId="79" applyNumberFormat="1" applyFont="1" applyBorder="1" applyAlignment="1">
      <alignment horizontal="center" vertical="center" wrapText="1"/>
    </xf>
    <xf numFmtId="3" fontId="68" fillId="0" borderId="0" xfId="80" applyNumberFormat="1" applyFont="1" applyAlignment="1">
      <alignment horizontal="left" indent="1"/>
    </xf>
    <xf numFmtId="3" fontId="66" fillId="0" borderId="7" xfId="80" applyNumberFormat="1" applyFont="1" applyBorder="1" applyAlignment="1">
      <alignment horizontal="left" wrapText="1"/>
    </xf>
    <xf numFmtId="3" fontId="66" fillId="0" borderId="7" xfId="79" applyNumberFormat="1" applyFont="1" applyBorder="1" applyAlignment="1">
      <alignment horizontal="left" vertical="center" wrapText="1"/>
    </xf>
    <xf numFmtId="164" fontId="42" fillId="7" borderId="0" xfId="0" applyFont="1" applyAlignment="1">
      <alignment horizontal="center"/>
    </xf>
    <xf numFmtId="3" fontId="44" fillId="0" borderId="0" xfId="0" applyNumberFormat="1" applyFont="1" applyFill="1" applyAlignment="1">
      <alignment horizontal="left"/>
    </xf>
    <xf numFmtId="3" fontId="43" fillId="0" borderId="7" xfId="80" applyNumberFormat="1" applyFont="1" applyBorder="1" applyAlignment="1">
      <alignment horizontal="left"/>
    </xf>
    <xf numFmtId="0" fontId="43" fillId="0" borderId="0" xfId="80" applyFont="1" applyAlignment="1">
      <alignment horizontal="center" wrapText="1"/>
    </xf>
  </cellXfs>
  <cellStyles count="879">
    <cellStyle name="? BP" xfId="5" xr:uid="{00000000-0005-0000-0000-000000000000}"/>
    <cellStyle name="? JY" xfId="6" xr:uid="{00000000-0005-0000-0000-000001000000}"/>
    <cellStyle name="£ BP" xfId="7" xr:uid="{00000000-0005-0000-0000-000002000000}"/>
    <cellStyle name="¥ JY" xfId="8" xr:uid="{00000000-0005-0000-0000-000003000000}"/>
    <cellStyle name="20% - Accent1 10" xfId="81" xr:uid="{00000000-0005-0000-0000-000004000000}"/>
    <cellStyle name="20% - Accent1 11" xfId="82" xr:uid="{00000000-0005-0000-0000-000005000000}"/>
    <cellStyle name="20% - Accent1 12" xfId="83" xr:uid="{00000000-0005-0000-0000-000006000000}"/>
    <cellStyle name="20% - Accent1 2" xfId="84" xr:uid="{00000000-0005-0000-0000-000007000000}"/>
    <cellStyle name="20% - Accent1 2 2" xfId="85" xr:uid="{00000000-0005-0000-0000-000008000000}"/>
    <cellStyle name="20% - Accent1 2 3" xfId="86" xr:uid="{00000000-0005-0000-0000-000009000000}"/>
    <cellStyle name="20% - Accent1 2_situație reabilitare termica - sectorul 1" xfId="87" xr:uid="{00000000-0005-0000-0000-00000A000000}"/>
    <cellStyle name="20% - Accent1 3" xfId="88" xr:uid="{00000000-0005-0000-0000-00000B000000}"/>
    <cellStyle name="20% - Accent1 3 2" xfId="89" xr:uid="{00000000-0005-0000-0000-00000C000000}"/>
    <cellStyle name="20% - Accent1 3 3" xfId="90" xr:uid="{00000000-0005-0000-0000-00000D000000}"/>
    <cellStyle name="20% - Accent1 3_situație reabilitare termica - sectorul 1" xfId="91" xr:uid="{00000000-0005-0000-0000-00000E000000}"/>
    <cellStyle name="20% - Accent1 4" xfId="92" xr:uid="{00000000-0005-0000-0000-00000F000000}"/>
    <cellStyle name="20% - Accent1 4 2" xfId="93" xr:uid="{00000000-0005-0000-0000-000010000000}"/>
    <cellStyle name="20% - Accent1 4 3" xfId="94" xr:uid="{00000000-0005-0000-0000-000011000000}"/>
    <cellStyle name="20% - Accent1 4_situație reabilitare termica - sectorul 1" xfId="95" xr:uid="{00000000-0005-0000-0000-000012000000}"/>
    <cellStyle name="20% - Accent1 5" xfId="96" xr:uid="{00000000-0005-0000-0000-000013000000}"/>
    <cellStyle name="20% - Accent1 6" xfId="97" xr:uid="{00000000-0005-0000-0000-000014000000}"/>
    <cellStyle name="20% - Accent1 7" xfId="98" xr:uid="{00000000-0005-0000-0000-000015000000}"/>
    <cellStyle name="20% - Accent1 8" xfId="99" xr:uid="{00000000-0005-0000-0000-000016000000}"/>
    <cellStyle name="20% - Accent1 9" xfId="100" xr:uid="{00000000-0005-0000-0000-000017000000}"/>
    <cellStyle name="20% - Accent2 10" xfId="101" xr:uid="{00000000-0005-0000-0000-000018000000}"/>
    <cellStyle name="20% - Accent2 11" xfId="102" xr:uid="{00000000-0005-0000-0000-000019000000}"/>
    <cellStyle name="20% - Accent2 12" xfId="103" xr:uid="{00000000-0005-0000-0000-00001A000000}"/>
    <cellStyle name="20% - Accent2 2" xfId="104" xr:uid="{00000000-0005-0000-0000-00001B000000}"/>
    <cellStyle name="20% - Accent2 2 2" xfId="105" xr:uid="{00000000-0005-0000-0000-00001C000000}"/>
    <cellStyle name="20% - Accent2 2 3" xfId="106" xr:uid="{00000000-0005-0000-0000-00001D000000}"/>
    <cellStyle name="20% - Accent2 2_situație reabilitare termica - sectorul 1" xfId="107" xr:uid="{00000000-0005-0000-0000-00001E000000}"/>
    <cellStyle name="20% - Accent2 3" xfId="108" xr:uid="{00000000-0005-0000-0000-00001F000000}"/>
    <cellStyle name="20% - Accent2 3 2" xfId="109" xr:uid="{00000000-0005-0000-0000-000020000000}"/>
    <cellStyle name="20% - Accent2 3 3" xfId="110" xr:uid="{00000000-0005-0000-0000-000021000000}"/>
    <cellStyle name="20% - Accent2 3_situație reabilitare termica - sectorul 1" xfId="111" xr:uid="{00000000-0005-0000-0000-000022000000}"/>
    <cellStyle name="20% - Accent2 4" xfId="112" xr:uid="{00000000-0005-0000-0000-000023000000}"/>
    <cellStyle name="20% - Accent2 4 2" xfId="113" xr:uid="{00000000-0005-0000-0000-000024000000}"/>
    <cellStyle name="20% - Accent2 4 3" xfId="114" xr:uid="{00000000-0005-0000-0000-000025000000}"/>
    <cellStyle name="20% - Accent2 4_situație reabilitare termica - sectorul 1" xfId="115" xr:uid="{00000000-0005-0000-0000-000026000000}"/>
    <cellStyle name="20% - Accent2 5" xfId="116" xr:uid="{00000000-0005-0000-0000-000027000000}"/>
    <cellStyle name="20% - Accent2 6" xfId="117" xr:uid="{00000000-0005-0000-0000-000028000000}"/>
    <cellStyle name="20% - Accent2 7" xfId="118" xr:uid="{00000000-0005-0000-0000-000029000000}"/>
    <cellStyle name="20% - Accent2 8" xfId="119" xr:uid="{00000000-0005-0000-0000-00002A000000}"/>
    <cellStyle name="20% - Accent2 9" xfId="120" xr:uid="{00000000-0005-0000-0000-00002B000000}"/>
    <cellStyle name="20% - Accent3 10" xfId="121" xr:uid="{00000000-0005-0000-0000-00002C000000}"/>
    <cellStyle name="20% - Accent3 11" xfId="122" xr:uid="{00000000-0005-0000-0000-00002D000000}"/>
    <cellStyle name="20% - Accent3 12" xfId="123" xr:uid="{00000000-0005-0000-0000-00002E000000}"/>
    <cellStyle name="20% - Accent3 2" xfId="124" xr:uid="{00000000-0005-0000-0000-00002F000000}"/>
    <cellStyle name="20% - Accent3 2 2" xfId="125" xr:uid="{00000000-0005-0000-0000-000030000000}"/>
    <cellStyle name="20% - Accent3 2 3" xfId="126" xr:uid="{00000000-0005-0000-0000-000031000000}"/>
    <cellStyle name="20% - Accent3 2_situație reabilitare termica - sectorul 1" xfId="127" xr:uid="{00000000-0005-0000-0000-000032000000}"/>
    <cellStyle name="20% - Accent3 3" xfId="128" xr:uid="{00000000-0005-0000-0000-000033000000}"/>
    <cellStyle name="20% - Accent3 3 2" xfId="129" xr:uid="{00000000-0005-0000-0000-000034000000}"/>
    <cellStyle name="20% - Accent3 3 3" xfId="130" xr:uid="{00000000-0005-0000-0000-000035000000}"/>
    <cellStyle name="20% - Accent3 3_situație reabilitare termica - sectorul 1" xfId="131" xr:uid="{00000000-0005-0000-0000-000036000000}"/>
    <cellStyle name="20% - Accent3 4" xfId="132" xr:uid="{00000000-0005-0000-0000-000037000000}"/>
    <cellStyle name="20% - Accent3 4 2" xfId="133" xr:uid="{00000000-0005-0000-0000-000038000000}"/>
    <cellStyle name="20% - Accent3 4 3" xfId="134" xr:uid="{00000000-0005-0000-0000-000039000000}"/>
    <cellStyle name="20% - Accent3 4_situație reabilitare termica - sectorul 1" xfId="135" xr:uid="{00000000-0005-0000-0000-00003A000000}"/>
    <cellStyle name="20% - Accent3 5" xfId="136" xr:uid="{00000000-0005-0000-0000-00003B000000}"/>
    <cellStyle name="20% - Accent3 6" xfId="137" xr:uid="{00000000-0005-0000-0000-00003C000000}"/>
    <cellStyle name="20% - Accent3 7" xfId="138" xr:uid="{00000000-0005-0000-0000-00003D000000}"/>
    <cellStyle name="20% - Accent3 8" xfId="139" xr:uid="{00000000-0005-0000-0000-00003E000000}"/>
    <cellStyle name="20% - Accent3 9" xfId="140" xr:uid="{00000000-0005-0000-0000-00003F000000}"/>
    <cellStyle name="20% - Accent4 10" xfId="141" xr:uid="{00000000-0005-0000-0000-000040000000}"/>
    <cellStyle name="20% - Accent4 11" xfId="142" xr:uid="{00000000-0005-0000-0000-000041000000}"/>
    <cellStyle name="20% - Accent4 12" xfId="143" xr:uid="{00000000-0005-0000-0000-000042000000}"/>
    <cellStyle name="20% - Accent4 2" xfId="144" xr:uid="{00000000-0005-0000-0000-000043000000}"/>
    <cellStyle name="20% - Accent4 2 2" xfId="145" xr:uid="{00000000-0005-0000-0000-000044000000}"/>
    <cellStyle name="20% - Accent4 2 3" xfId="146" xr:uid="{00000000-0005-0000-0000-000045000000}"/>
    <cellStyle name="20% - Accent4 2_situație reabilitare termica - sectorul 1" xfId="147" xr:uid="{00000000-0005-0000-0000-000046000000}"/>
    <cellStyle name="20% - Accent4 3" xfId="148" xr:uid="{00000000-0005-0000-0000-000047000000}"/>
    <cellStyle name="20% - Accent4 3 2" xfId="149" xr:uid="{00000000-0005-0000-0000-000048000000}"/>
    <cellStyle name="20% - Accent4 3 3" xfId="150" xr:uid="{00000000-0005-0000-0000-000049000000}"/>
    <cellStyle name="20% - Accent4 3_situație reabilitare termica - sectorul 1" xfId="151" xr:uid="{00000000-0005-0000-0000-00004A000000}"/>
    <cellStyle name="20% - Accent4 4" xfId="152" xr:uid="{00000000-0005-0000-0000-00004B000000}"/>
    <cellStyle name="20% - Accent4 4 2" xfId="153" xr:uid="{00000000-0005-0000-0000-00004C000000}"/>
    <cellStyle name="20% - Accent4 4 3" xfId="154" xr:uid="{00000000-0005-0000-0000-00004D000000}"/>
    <cellStyle name="20% - Accent4 4_situație reabilitare termica - sectorul 1" xfId="155" xr:uid="{00000000-0005-0000-0000-00004E000000}"/>
    <cellStyle name="20% - Accent4 5" xfId="156" xr:uid="{00000000-0005-0000-0000-00004F000000}"/>
    <cellStyle name="20% - Accent4 6" xfId="157" xr:uid="{00000000-0005-0000-0000-000050000000}"/>
    <cellStyle name="20% - Accent4 7" xfId="158" xr:uid="{00000000-0005-0000-0000-000051000000}"/>
    <cellStyle name="20% - Accent4 8" xfId="159" xr:uid="{00000000-0005-0000-0000-000052000000}"/>
    <cellStyle name="20% - Accent4 9" xfId="160" xr:uid="{00000000-0005-0000-0000-000053000000}"/>
    <cellStyle name="20% - Accent5 10" xfId="161" xr:uid="{00000000-0005-0000-0000-000054000000}"/>
    <cellStyle name="20% - Accent5 11" xfId="162" xr:uid="{00000000-0005-0000-0000-000055000000}"/>
    <cellStyle name="20% - Accent5 12" xfId="163" xr:uid="{00000000-0005-0000-0000-000056000000}"/>
    <cellStyle name="20% - Accent5 2" xfId="164" xr:uid="{00000000-0005-0000-0000-000057000000}"/>
    <cellStyle name="20% - Accent5 2 2" xfId="165" xr:uid="{00000000-0005-0000-0000-000058000000}"/>
    <cellStyle name="20% - Accent5 2 3" xfId="166" xr:uid="{00000000-0005-0000-0000-000059000000}"/>
    <cellStyle name="20% - Accent5 2_situație reabilitare termica - sectorul 1" xfId="167" xr:uid="{00000000-0005-0000-0000-00005A000000}"/>
    <cellStyle name="20% - Accent5 3" xfId="168" xr:uid="{00000000-0005-0000-0000-00005B000000}"/>
    <cellStyle name="20% - Accent5 3 2" xfId="169" xr:uid="{00000000-0005-0000-0000-00005C000000}"/>
    <cellStyle name="20% - Accent5 3 3" xfId="170" xr:uid="{00000000-0005-0000-0000-00005D000000}"/>
    <cellStyle name="20% - Accent5 3_situație reabilitare termica - sectorul 1" xfId="171" xr:uid="{00000000-0005-0000-0000-00005E000000}"/>
    <cellStyle name="20% - Accent5 4" xfId="172" xr:uid="{00000000-0005-0000-0000-00005F000000}"/>
    <cellStyle name="20% - Accent5 4 2" xfId="173" xr:uid="{00000000-0005-0000-0000-000060000000}"/>
    <cellStyle name="20% - Accent5 4 3" xfId="174" xr:uid="{00000000-0005-0000-0000-000061000000}"/>
    <cellStyle name="20% - Accent5 4_situație reabilitare termica - sectorul 1" xfId="175" xr:uid="{00000000-0005-0000-0000-000062000000}"/>
    <cellStyle name="20% - Accent5 5" xfId="176" xr:uid="{00000000-0005-0000-0000-000063000000}"/>
    <cellStyle name="20% - Accent5 6" xfId="177" xr:uid="{00000000-0005-0000-0000-000064000000}"/>
    <cellStyle name="20% - Accent5 7" xfId="178" xr:uid="{00000000-0005-0000-0000-000065000000}"/>
    <cellStyle name="20% - Accent5 8" xfId="179" xr:uid="{00000000-0005-0000-0000-000066000000}"/>
    <cellStyle name="20% - Accent5 9" xfId="180" xr:uid="{00000000-0005-0000-0000-000067000000}"/>
    <cellStyle name="20% - Accent6 10" xfId="181" xr:uid="{00000000-0005-0000-0000-000068000000}"/>
    <cellStyle name="20% - Accent6 11" xfId="182" xr:uid="{00000000-0005-0000-0000-000069000000}"/>
    <cellStyle name="20% - Accent6 12" xfId="183" xr:uid="{00000000-0005-0000-0000-00006A000000}"/>
    <cellStyle name="20% - Accent6 2" xfId="184" xr:uid="{00000000-0005-0000-0000-00006B000000}"/>
    <cellStyle name="20% - Accent6 2 2" xfId="185" xr:uid="{00000000-0005-0000-0000-00006C000000}"/>
    <cellStyle name="20% - Accent6 2 3" xfId="186" xr:uid="{00000000-0005-0000-0000-00006D000000}"/>
    <cellStyle name="20% - Accent6 2_situație reabilitare termica - sectorul 1" xfId="187" xr:uid="{00000000-0005-0000-0000-00006E000000}"/>
    <cellStyle name="20% - Accent6 3" xfId="188" xr:uid="{00000000-0005-0000-0000-00006F000000}"/>
    <cellStyle name="20% - Accent6 3 2" xfId="189" xr:uid="{00000000-0005-0000-0000-000070000000}"/>
    <cellStyle name="20% - Accent6 3 3" xfId="190" xr:uid="{00000000-0005-0000-0000-000071000000}"/>
    <cellStyle name="20% - Accent6 3_situație reabilitare termica - sectorul 1" xfId="191" xr:uid="{00000000-0005-0000-0000-000072000000}"/>
    <cellStyle name="20% - Accent6 4" xfId="192" xr:uid="{00000000-0005-0000-0000-000073000000}"/>
    <cellStyle name="20% - Accent6 4 2" xfId="193" xr:uid="{00000000-0005-0000-0000-000074000000}"/>
    <cellStyle name="20% - Accent6 4 3" xfId="194" xr:uid="{00000000-0005-0000-0000-000075000000}"/>
    <cellStyle name="20% - Accent6 4_situație reabilitare termica - sectorul 1" xfId="195" xr:uid="{00000000-0005-0000-0000-000076000000}"/>
    <cellStyle name="20% - Accent6 5" xfId="196" xr:uid="{00000000-0005-0000-0000-000077000000}"/>
    <cellStyle name="20% - Accent6 6" xfId="197" xr:uid="{00000000-0005-0000-0000-000078000000}"/>
    <cellStyle name="20% - Accent6 7" xfId="198" xr:uid="{00000000-0005-0000-0000-000079000000}"/>
    <cellStyle name="20% - Accent6 8" xfId="199" xr:uid="{00000000-0005-0000-0000-00007A000000}"/>
    <cellStyle name="20% - Accent6 9" xfId="200" xr:uid="{00000000-0005-0000-0000-00007B000000}"/>
    <cellStyle name="40% - Accent1 10" xfId="201" xr:uid="{00000000-0005-0000-0000-00007C000000}"/>
    <cellStyle name="40% - Accent1 11" xfId="202" xr:uid="{00000000-0005-0000-0000-00007D000000}"/>
    <cellStyle name="40% - Accent1 12" xfId="203" xr:uid="{00000000-0005-0000-0000-00007E000000}"/>
    <cellStyle name="40% - Accent1 2" xfId="204" xr:uid="{00000000-0005-0000-0000-00007F000000}"/>
    <cellStyle name="40% - Accent1 2 2" xfId="205" xr:uid="{00000000-0005-0000-0000-000080000000}"/>
    <cellStyle name="40% - Accent1 2 3" xfId="206" xr:uid="{00000000-0005-0000-0000-000081000000}"/>
    <cellStyle name="40% - Accent1 2_situație reabilitare termica - sectorul 1" xfId="207" xr:uid="{00000000-0005-0000-0000-000082000000}"/>
    <cellStyle name="40% - Accent1 3" xfId="208" xr:uid="{00000000-0005-0000-0000-000083000000}"/>
    <cellStyle name="40% - Accent1 3 2" xfId="209" xr:uid="{00000000-0005-0000-0000-000084000000}"/>
    <cellStyle name="40% - Accent1 3 3" xfId="210" xr:uid="{00000000-0005-0000-0000-000085000000}"/>
    <cellStyle name="40% - Accent1 3_situație reabilitare termica - sectorul 1" xfId="211" xr:uid="{00000000-0005-0000-0000-000086000000}"/>
    <cellStyle name="40% - Accent1 4" xfId="212" xr:uid="{00000000-0005-0000-0000-000087000000}"/>
    <cellStyle name="40% - Accent1 4 2" xfId="213" xr:uid="{00000000-0005-0000-0000-000088000000}"/>
    <cellStyle name="40% - Accent1 4 3" xfId="214" xr:uid="{00000000-0005-0000-0000-000089000000}"/>
    <cellStyle name="40% - Accent1 4_situație reabilitare termica - sectorul 1" xfId="215" xr:uid="{00000000-0005-0000-0000-00008A000000}"/>
    <cellStyle name="40% - Accent1 5" xfId="216" xr:uid="{00000000-0005-0000-0000-00008B000000}"/>
    <cellStyle name="40% - Accent1 6" xfId="217" xr:uid="{00000000-0005-0000-0000-00008C000000}"/>
    <cellStyle name="40% - Accent1 7" xfId="218" xr:uid="{00000000-0005-0000-0000-00008D000000}"/>
    <cellStyle name="40% - Accent1 8" xfId="219" xr:uid="{00000000-0005-0000-0000-00008E000000}"/>
    <cellStyle name="40% - Accent1 9" xfId="220" xr:uid="{00000000-0005-0000-0000-00008F000000}"/>
    <cellStyle name="40% - Accent2 10" xfId="221" xr:uid="{00000000-0005-0000-0000-000090000000}"/>
    <cellStyle name="40% - Accent2 11" xfId="222" xr:uid="{00000000-0005-0000-0000-000091000000}"/>
    <cellStyle name="40% - Accent2 12" xfId="223" xr:uid="{00000000-0005-0000-0000-000092000000}"/>
    <cellStyle name="40% - Accent2 2" xfId="224" xr:uid="{00000000-0005-0000-0000-000093000000}"/>
    <cellStyle name="40% - Accent2 2 2" xfId="225" xr:uid="{00000000-0005-0000-0000-000094000000}"/>
    <cellStyle name="40% - Accent2 2 3" xfId="226" xr:uid="{00000000-0005-0000-0000-000095000000}"/>
    <cellStyle name="40% - Accent2 2_situație reabilitare termica - sectorul 1" xfId="227" xr:uid="{00000000-0005-0000-0000-000096000000}"/>
    <cellStyle name="40% - Accent2 3" xfId="228" xr:uid="{00000000-0005-0000-0000-000097000000}"/>
    <cellStyle name="40% - Accent2 3 2" xfId="229" xr:uid="{00000000-0005-0000-0000-000098000000}"/>
    <cellStyle name="40% - Accent2 3 3" xfId="230" xr:uid="{00000000-0005-0000-0000-000099000000}"/>
    <cellStyle name="40% - Accent2 3_situație reabilitare termica - sectorul 1" xfId="231" xr:uid="{00000000-0005-0000-0000-00009A000000}"/>
    <cellStyle name="40% - Accent2 4" xfId="232" xr:uid="{00000000-0005-0000-0000-00009B000000}"/>
    <cellStyle name="40% - Accent2 4 2" xfId="233" xr:uid="{00000000-0005-0000-0000-00009C000000}"/>
    <cellStyle name="40% - Accent2 4 3" xfId="234" xr:uid="{00000000-0005-0000-0000-00009D000000}"/>
    <cellStyle name="40% - Accent2 4_situație reabilitare termica - sectorul 1" xfId="235" xr:uid="{00000000-0005-0000-0000-00009E000000}"/>
    <cellStyle name="40% - Accent2 5" xfId="236" xr:uid="{00000000-0005-0000-0000-00009F000000}"/>
    <cellStyle name="40% - Accent2 6" xfId="237" xr:uid="{00000000-0005-0000-0000-0000A0000000}"/>
    <cellStyle name="40% - Accent2 7" xfId="238" xr:uid="{00000000-0005-0000-0000-0000A1000000}"/>
    <cellStyle name="40% - Accent2 8" xfId="239" xr:uid="{00000000-0005-0000-0000-0000A2000000}"/>
    <cellStyle name="40% - Accent2 9" xfId="240" xr:uid="{00000000-0005-0000-0000-0000A3000000}"/>
    <cellStyle name="40% - Accent3 10" xfId="241" xr:uid="{00000000-0005-0000-0000-0000A4000000}"/>
    <cellStyle name="40% - Accent3 11" xfId="242" xr:uid="{00000000-0005-0000-0000-0000A5000000}"/>
    <cellStyle name="40% - Accent3 12" xfId="243" xr:uid="{00000000-0005-0000-0000-0000A6000000}"/>
    <cellStyle name="40% - Accent3 2" xfId="244" xr:uid="{00000000-0005-0000-0000-0000A7000000}"/>
    <cellStyle name="40% - Accent3 2 2" xfId="245" xr:uid="{00000000-0005-0000-0000-0000A8000000}"/>
    <cellStyle name="40% - Accent3 2 3" xfId="246" xr:uid="{00000000-0005-0000-0000-0000A9000000}"/>
    <cellStyle name="40% - Accent3 2_situație reabilitare termica - sectorul 1" xfId="247" xr:uid="{00000000-0005-0000-0000-0000AA000000}"/>
    <cellStyle name="40% - Accent3 3" xfId="248" xr:uid="{00000000-0005-0000-0000-0000AB000000}"/>
    <cellStyle name="40% - Accent3 3 2" xfId="249" xr:uid="{00000000-0005-0000-0000-0000AC000000}"/>
    <cellStyle name="40% - Accent3 3 3" xfId="250" xr:uid="{00000000-0005-0000-0000-0000AD000000}"/>
    <cellStyle name="40% - Accent3 3_situație reabilitare termica - sectorul 1" xfId="251" xr:uid="{00000000-0005-0000-0000-0000AE000000}"/>
    <cellStyle name="40% - Accent3 4" xfId="252" xr:uid="{00000000-0005-0000-0000-0000AF000000}"/>
    <cellStyle name="40% - Accent3 4 2" xfId="253" xr:uid="{00000000-0005-0000-0000-0000B0000000}"/>
    <cellStyle name="40% - Accent3 4 3" xfId="254" xr:uid="{00000000-0005-0000-0000-0000B1000000}"/>
    <cellStyle name="40% - Accent3 4_situație reabilitare termica - sectorul 1" xfId="255" xr:uid="{00000000-0005-0000-0000-0000B2000000}"/>
    <cellStyle name="40% - Accent3 5" xfId="256" xr:uid="{00000000-0005-0000-0000-0000B3000000}"/>
    <cellStyle name="40% - Accent3 6" xfId="257" xr:uid="{00000000-0005-0000-0000-0000B4000000}"/>
    <cellStyle name="40% - Accent3 7" xfId="258" xr:uid="{00000000-0005-0000-0000-0000B5000000}"/>
    <cellStyle name="40% - Accent3 8" xfId="259" xr:uid="{00000000-0005-0000-0000-0000B6000000}"/>
    <cellStyle name="40% - Accent3 9" xfId="260" xr:uid="{00000000-0005-0000-0000-0000B7000000}"/>
    <cellStyle name="40% - Accent4 10" xfId="261" xr:uid="{00000000-0005-0000-0000-0000B8000000}"/>
    <cellStyle name="40% - Accent4 11" xfId="262" xr:uid="{00000000-0005-0000-0000-0000B9000000}"/>
    <cellStyle name="40% - Accent4 12" xfId="263" xr:uid="{00000000-0005-0000-0000-0000BA000000}"/>
    <cellStyle name="40% - Accent4 2" xfId="264" xr:uid="{00000000-0005-0000-0000-0000BB000000}"/>
    <cellStyle name="40% - Accent4 2 2" xfId="265" xr:uid="{00000000-0005-0000-0000-0000BC000000}"/>
    <cellStyle name="40% - Accent4 2 3" xfId="266" xr:uid="{00000000-0005-0000-0000-0000BD000000}"/>
    <cellStyle name="40% - Accent4 2_situație reabilitare termica - sectorul 1" xfId="267" xr:uid="{00000000-0005-0000-0000-0000BE000000}"/>
    <cellStyle name="40% - Accent4 3" xfId="268" xr:uid="{00000000-0005-0000-0000-0000BF000000}"/>
    <cellStyle name="40% - Accent4 3 2" xfId="269" xr:uid="{00000000-0005-0000-0000-0000C0000000}"/>
    <cellStyle name="40% - Accent4 3 3" xfId="270" xr:uid="{00000000-0005-0000-0000-0000C1000000}"/>
    <cellStyle name="40% - Accent4 3_situație reabilitare termica - sectorul 1" xfId="271" xr:uid="{00000000-0005-0000-0000-0000C2000000}"/>
    <cellStyle name="40% - Accent4 4" xfId="272" xr:uid="{00000000-0005-0000-0000-0000C3000000}"/>
    <cellStyle name="40% - Accent4 4 2" xfId="273" xr:uid="{00000000-0005-0000-0000-0000C4000000}"/>
    <cellStyle name="40% - Accent4 4 3" xfId="274" xr:uid="{00000000-0005-0000-0000-0000C5000000}"/>
    <cellStyle name="40% - Accent4 4_situație reabilitare termica - sectorul 1" xfId="275" xr:uid="{00000000-0005-0000-0000-0000C6000000}"/>
    <cellStyle name="40% - Accent4 5" xfId="276" xr:uid="{00000000-0005-0000-0000-0000C7000000}"/>
    <cellStyle name="40% - Accent4 6" xfId="277" xr:uid="{00000000-0005-0000-0000-0000C8000000}"/>
    <cellStyle name="40% - Accent4 7" xfId="278" xr:uid="{00000000-0005-0000-0000-0000C9000000}"/>
    <cellStyle name="40% - Accent4 8" xfId="279" xr:uid="{00000000-0005-0000-0000-0000CA000000}"/>
    <cellStyle name="40% - Accent4 9" xfId="280" xr:uid="{00000000-0005-0000-0000-0000CB000000}"/>
    <cellStyle name="40% - Accent5 10" xfId="281" xr:uid="{00000000-0005-0000-0000-0000CC000000}"/>
    <cellStyle name="40% - Accent5 11" xfId="282" xr:uid="{00000000-0005-0000-0000-0000CD000000}"/>
    <cellStyle name="40% - Accent5 12" xfId="283" xr:uid="{00000000-0005-0000-0000-0000CE000000}"/>
    <cellStyle name="40% - Accent5 2" xfId="284" xr:uid="{00000000-0005-0000-0000-0000CF000000}"/>
    <cellStyle name="40% - Accent5 2 2" xfId="285" xr:uid="{00000000-0005-0000-0000-0000D0000000}"/>
    <cellStyle name="40% - Accent5 2 3" xfId="286" xr:uid="{00000000-0005-0000-0000-0000D1000000}"/>
    <cellStyle name="40% - Accent5 2_situație reabilitare termica - sectorul 1" xfId="287" xr:uid="{00000000-0005-0000-0000-0000D2000000}"/>
    <cellStyle name="40% - Accent5 3" xfId="288" xr:uid="{00000000-0005-0000-0000-0000D3000000}"/>
    <cellStyle name="40% - Accent5 3 2" xfId="289" xr:uid="{00000000-0005-0000-0000-0000D4000000}"/>
    <cellStyle name="40% - Accent5 3 3" xfId="290" xr:uid="{00000000-0005-0000-0000-0000D5000000}"/>
    <cellStyle name="40% - Accent5 3_situație reabilitare termica - sectorul 1" xfId="291" xr:uid="{00000000-0005-0000-0000-0000D6000000}"/>
    <cellStyle name="40% - Accent5 4" xfId="292" xr:uid="{00000000-0005-0000-0000-0000D7000000}"/>
    <cellStyle name="40% - Accent5 4 2" xfId="293" xr:uid="{00000000-0005-0000-0000-0000D8000000}"/>
    <cellStyle name="40% - Accent5 4 3" xfId="294" xr:uid="{00000000-0005-0000-0000-0000D9000000}"/>
    <cellStyle name="40% - Accent5 4_situație reabilitare termica - sectorul 1" xfId="295" xr:uid="{00000000-0005-0000-0000-0000DA000000}"/>
    <cellStyle name="40% - Accent5 5" xfId="296" xr:uid="{00000000-0005-0000-0000-0000DB000000}"/>
    <cellStyle name="40% - Accent5 6" xfId="297" xr:uid="{00000000-0005-0000-0000-0000DC000000}"/>
    <cellStyle name="40% - Accent5 7" xfId="298" xr:uid="{00000000-0005-0000-0000-0000DD000000}"/>
    <cellStyle name="40% - Accent5 8" xfId="299" xr:uid="{00000000-0005-0000-0000-0000DE000000}"/>
    <cellStyle name="40% - Accent5 9" xfId="300" xr:uid="{00000000-0005-0000-0000-0000DF000000}"/>
    <cellStyle name="40% - Accent6 10" xfId="301" xr:uid="{00000000-0005-0000-0000-0000E0000000}"/>
    <cellStyle name="40% - Accent6 11" xfId="302" xr:uid="{00000000-0005-0000-0000-0000E1000000}"/>
    <cellStyle name="40% - Accent6 12" xfId="303" xr:uid="{00000000-0005-0000-0000-0000E2000000}"/>
    <cellStyle name="40% - Accent6 2" xfId="304" xr:uid="{00000000-0005-0000-0000-0000E3000000}"/>
    <cellStyle name="40% - Accent6 2 2" xfId="305" xr:uid="{00000000-0005-0000-0000-0000E4000000}"/>
    <cellStyle name="40% - Accent6 2 3" xfId="306" xr:uid="{00000000-0005-0000-0000-0000E5000000}"/>
    <cellStyle name="40% - Accent6 2_situație reabilitare termica - sectorul 1" xfId="307" xr:uid="{00000000-0005-0000-0000-0000E6000000}"/>
    <cellStyle name="40% - Accent6 3" xfId="308" xr:uid="{00000000-0005-0000-0000-0000E7000000}"/>
    <cellStyle name="40% - Accent6 3 2" xfId="309" xr:uid="{00000000-0005-0000-0000-0000E8000000}"/>
    <cellStyle name="40% - Accent6 3 3" xfId="310" xr:uid="{00000000-0005-0000-0000-0000E9000000}"/>
    <cellStyle name="40% - Accent6 3_situație reabilitare termica - sectorul 1" xfId="311" xr:uid="{00000000-0005-0000-0000-0000EA000000}"/>
    <cellStyle name="40% - Accent6 4" xfId="312" xr:uid="{00000000-0005-0000-0000-0000EB000000}"/>
    <cellStyle name="40% - Accent6 4 2" xfId="313" xr:uid="{00000000-0005-0000-0000-0000EC000000}"/>
    <cellStyle name="40% - Accent6 4 3" xfId="314" xr:uid="{00000000-0005-0000-0000-0000ED000000}"/>
    <cellStyle name="40% - Accent6 4_situație reabilitare termica - sectorul 1" xfId="315" xr:uid="{00000000-0005-0000-0000-0000EE000000}"/>
    <cellStyle name="40% - Accent6 5" xfId="316" xr:uid="{00000000-0005-0000-0000-0000EF000000}"/>
    <cellStyle name="40% - Accent6 6" xfId="317" xr:uid="{00000000-0005-0000-0000-0000F0000000}"/>
    <cellStyle name="40% - Accent6 7" xfId="318" xr:uid="{00000000-0005-0000-0000-0000F1000000}"/>
    <cellStyle name="40% - Accent6 8" xfId="319" xr:uid="{00000000-0005-0000-0000-0000F2000000}"/>
    <cellStyle name="40% - Accent6 9" xfId="320" xr:uid="{00000000-0005-0000-0000-0000F3000000}"/>
    <cellStyle name="60% - Accent1 10" xfId="321" xr:uid="{00000000-0005-0000-0000-0000F4000000}"/>
    <cellStyle name="60% - Accent1 11" xfId="322" xr:uid="{00000000-0005-0000-0000-0000F5000000}"/>
    <cellStyle name="60% - Accent1 12" xfId="323" xr:uid="{00000000-0005-0000-0000-0000F6000000}"/>
    <cellStyle name="60% - Accent1 2" xfId="324" xr:uid="{00000000-0005-0000-0000-0000F7000000}"/>
    <cellStyle name="60% - Accent1 2 2" xfId="325" xr:uid="{00000000-0005-0000-0000-0000F8000000}"/>
    <cellStyle name="60% - Accent1 2 3" xfId="326" xr:uid="{00000000-0005-0000-0000-0000F9000000}"/>
    <cellStyle name="60% - Accent1 3" xfId="327" xr:uid="{00000000-0005-0000-0000-0000FA000000}"/>
    <cellStyle name="60% - Accent1 3 2" xfId="328" xr:uid="{00000000-0005-0000-0000-0000FB000000}"/>
    <cellStyle name="60% - Accent1 3 3" xfId="329" xr:uid="{00000000-0005-0000-0000-0000FC000000}"/>
    <cellStyle name="60% - Accent1 4" xfId="330" xr:uid="{00000000-0005-0000-0000-0000FD000000}"/>
    <cellStyle name="60% - Accent1 4 2" xfId="331" xr:uid="{00000000-0005-0000-0000-0000FE000000}"/>
    <cellStyle name="60% - Accent1 4 3" xfId="332" xr:uid="{00000000-0005-0000-0000-0000FF000000}"/>
    <cellStyle name="60% - Accent1 5" xfId="333" xr:uid="{00000000-0005-0000-0000-000000010000}"/>
    <cellStyle name="60% - Accent1 6" xfId="334" xr:uid="{00000000-0005-0000-0000-000001010000}"/>
    <cellStyle name="60% - Accent1 7" xfId="335" xr:uid="{00000000-0005-0000-0000-000002010000}"/>
    <cellStyle name="60% - Accent1 8" xfId="336" xr:uid="{00000000-0005-0000-0000-000003010000}"/>
    <cellStyle name="60% - Accent1 9" xfId="337" xr:uid="{00000000-0005-0000-0000-000004010000}"/>
    <cellStyle name="60% - Accent2 10" xfId="338" xr:uid="{00000000-0005-0000-0000-000005010000}"/>
    <cellStyle name="60% - Accent2 11" xfId="339" xr:uid="{00000000-0005-0000-0000-000006010000}"/>
    <cellStyle name="60% - Accent2 12" xfId="340" xr:uid="{00000000-0005-0000-0000-000007010000}"/>
    <cellStyle name="60% - Accent2 2" xfId="341" xr:uid="{00000000-0005-0000-0000-000008010000}"/>
    <cellStyle name="60% - Accent2 2 2" xfId="342" xr:uid="{00000000-0005-0000-0000-000009010000}"/>
    <cellStyle name="60% - Accent2 2 3" xfId="343" xr:uid="{00000000-0005-0000-0000-00000A010000}"/>
    <cellStyle name="60% - Accent2 3" xfId="344" xr:uid="{00000000-0005-0000-0000-00000B010000}"/>
    <cellStyle name="60% - Accent2 3 2" xfId="345" xr:uid="{00000000-0005-0000-0000-00000C010000}"/>
    <cellStyle name="60% - Accent2 3 3" xfId="346" xr:uid="{00000000-0005-0000-0000-00000D010000}"/>
    <cellStyle name="60% - Accent2 4" xfId="347" xr:uid="{00000000-0005-0000-0000-00000E010000}"/>
    <cellStyle name="60% - Accent2 4 2" xfId="348" xr:uid="{00000000-0005-0000-0000-00000F010000}"/>
    <cellStyle name="60% - Accent2 4 3" xfId="349" xr:uid="{00000000-0005-0000-0000-000010010000}"/>
    <cellStyle name="60% - Accent2 5" xfId="350" xr:uid="{00000000-0005-0000-0000-000011010000}"/>
    <cellStyle name="60% - Accent2 6" xfId="351" xr:uid="{00000000-0005-0000-0000-000012010000}"/>
    <cellStyle name="60% - Accent2 7" xfId="352" xr:uid="{00000000-0005-0000-0000-000013010000}"/>
    <cellStyle name="60% - Accent2 8" xfId="353" xr:uid="{00000000-0005-0000-0000-000014010000}"/>
    <cellStyle name="60% - Accent2 9" xfId="354" xr:uid="{00000000-0005-0000-0000-000015010000}"/>
    <cellStyle name="60% - Accent3 10" xfId="355" xr:uid="{00000000-0005-0000-0000-000016010000}"/>
    <cellStyle name="60% - Accent3 11" xfId="356" xr:uid="{00000000-0005-0000-0000-000017010000}"/>
    <cellStyle name="60% - Accent3 12" xfId="357" xr:uid="{00000000-0005-0000-0000-000018010000}"/>
    <cellStyle name="60% - Accent3 2" xfId="358" xr:uid="{00000000-0005-0000-0000-000019010000}"/>
    <cellStyle name="60% - Accent3 2 2" xfId="359" xr:uid="{00000000-0005-0000-0000-00001A010000}"/>
    <cellStyle name="60% - Accent3 2 3" xfId="360" xr:uid="{00000000-0005-0000-0000-00001B010000}"/>
    <cellStyle name="60% - Accent3 3" xfId="361" xr:uid="{00000000-0005-0000-0000-00001C010000}"/>
    <cellStyle name="60% - Accent3 3 2" xfId="362" xr:uid="{00000000-0005-0000-0000-00001D010000}"/>
    <cellStyle name="60% - Accent3 3 3" xfId="363" xr:uid="{00000000-0005-0000-0000-00001E010000}"/>
    <cellStyle name="60% - Accent3 4" xfId="364" xr:uid="{00000000-0005-0000-0000-00001F010000}"/>
    <cellStyle name="60% - Accent3 4 2" xfId="365" xr:uid="{00000000-0005-0000-0000-000020010000}"/>
    <cellStyle name="60% - Accent3 4 3" xfId="366" xr:uid="{00000000-0005-0000-0000-000021010000}"/>
    <cellStyle name="60% - Accent3 5" xfId="367" xr:uid="{00000000-0005-0000-0000-000022010000}"/>
    <cellStyle name="60% - Accent3 6" xfId="368" xr:uid="{00000000-0005-0000-0000-000023010000}"/>
    <cellStyle name="60% - Accent3 7" xfId="369" xr:uid="{00000000-0005-0000-0000-000024010000}"/>
    <cellStyle name="60% - Accent3 8" xfId="370" xr:uid="{00000000-0005-0000-0000-000025010000}"/>
    <cellStyle name="60% - Accent3 9" xfId="371" xr:uid="{00000000-0005-0000-0000-000026010000}"/>
    <cellStyle name="60% - Accent4 10" xfId="372" xr:uid="{00000000-0005-0000-0000-000027010000}"/>
    <cellStyle name="60% - Accent4 11" xfId="373" xr:uid="{00000000-0005-0000-0000-000028010000}"/>
    <cellStyle name="60% - Accent4 12" xfId="374" xr:uid="{00000000-0005-0000-0000-000029010000}"/>
    <cellStyle name="60% - Accent4 2" xfId="375" xr:uid="{00000000-0005-0000-0000-00002A010000}"/>
    <cellStyle name="60% - Accent4 2 2" xfId="376" xr:uid="{00000000-0005-0000-0000-00002B010000}"/>
    <cellStyle name="60% - Accent4 2 3" xfId="377" xr:uid="{00000000-0005-0000-0000-00002C010000}"/>
    <cellStyle name="60% - Accent4 3" xfId="378" xr:uid="{00000000-0005-0000-0000-00002D010000}"/>
    <cellStyle name="60% - Accent4 3 2" xfId="379" xr:uid="{00000000-0005-0000-0000-00002E010000}"/>
    <cellStyle name="60% - Accent4 3 3" xfId="380" xr:uid="{00000000-0005-0000-0000-00002F010000}"/>
    <cellStyle name="60% - Accent4 4" xfId="381" xr:uid="{00000000-0005-0000-0000-000030010000}"/>
    <cellStyle name="60% - Accent4 4 2" xfId="382" xr:uid="{00000000-0005-0000-0000-000031010000}"/>
    <cellStyle name="60% - Accent4 4 3" xfId="383" xr:uid="{00000000-0005-0000-0000-000032010000}"/>
    <cellStyle name="60% - Accent4 5" xfId="384" xr:uid="{00000000-0005-0000-0000-000033010000}"/>
    <cellStyle name="60% - Accent4 6" xfId="385" xr:uid="{00000000-0005-0000-0000-000034010000}"/>
    <cellStyle name="60% - Accent4 7" xfId="386" xr:uid="{00000000-0005-0000-0000-000035010000}"/>
    <cellStyle name="60% - Accent4 8" xfId="387" xr:uid="{00000000-0005-0000-0000-000036010000}"/>
    <cellStyle name="60% - Accent4 9" xfId="388" xr:uid="{00000000-0005-0000-0000-000037010000}"/>
    <cellStyle name="60% - Accent5 10" xfId="389" xr:uid="{00000000-0005-0000-0000-000038010000}"/>
    <cellStyle name="60% - Accent5 11" xfId="390" xr:uid="{00000000-0005-0000-0000-000039010000}"/>
    <cellStyle name="60% - Accent5 12" xfId="391" xr:uid="{00000000-0005-0000-0000-00003A010000}"/>
    <cellStyle name="60% - Accent5 2" xfId="392" xr:uid="{00000000-0005-0000-0000-00003B010000}"/>
    <cellStyle name="60% - Accent5 2 2" xfId="393" xr:uid="{00000000-0005-0000-0000-00003C010000}"/>
    <cellStyle name="60% - Accent5 2 3" xfId="394" xr:uid="{00000000-0005-0000-0000-00003D010000}"/>
    <cellStyle name="60% - Accent5 3" xfId="395" xr:uid="{00000000-0005-0000-0000-00003E010000}"/>
    <cellStyle name="60% - Accent5 3 2" xfId="396" xr:uid="{00000000-0005-0000-0000-00003F010000}"/>
    <cellStyle name="60% - Accent5 3 3" xfId="397" xr:uid="{00000000-0005-0000-0000-000040010000}"/>
    <cellStyle name="60% - Accent5 4" xfId="398" xr:uid="{00000000-0005-0000-0000-000041010000}"/>
    <cellStyle name="60% - Accent5 4 2" xfId="399" xr:uid="{00000000-0005-0000-0000-000042010000}"/>
    <cellStyle name="60% - Accent5 4 3" xfId="400" xr:uid="{00000000-0005-0000-0000-000043010000}"/>
    <cellStyle name="60% - Accent5 5" xfId="401" xr:uid="{00000000-0005-0000-0000-000044010000}"/>
    <cellStyle name="60% - Accent5 6" xfId="402" xr:uid="{00000000-0005-0000-0000-000045010000}"/>
    <cellStyle name="60% - Accent5 7" xfId="403" xr:uid="{00000000-0005-0000-0000-000046010000}"/>
    <cellStyle name="60% - Accent5 8" xfId="404" xr:uid="{00000000-0005-0000-0000-000047010000}"/>
    <cellStyle name="60% - Accent5 9" xfId="405" xr:uid="{00000000-0005-0000-0000-000048010000}"/>
    <cellStyle name="60% - Accent6 10" xfId="406" xr:uid="{00000000-0005-0000-0000-000049010000}"/>
    <cellStyle name="60% - Accent6 11" xfId="407" xr:uid="{00000000-0005-0000-0000-00004A010000}"/>
    <cellStyle name="60% - Accent6 12" xfId="408" xr:uid="{00000000-0005-0000-0000-00004B010000}"/>
    <cellStyle name="60% - Accent6 2" xfId="409" xr:uid="{00000000-0005-0000-0000-00004C010000}"/>
    <cellStyle name="60% - Accent6 2 2" xfId="410" xr:uid="{00000000-0005-0000-0000-00004D010000}"/>
    <cellStyle name="60% - Accent6 2 3" xfId="411" xr:uid="{00000000-0005-0000-0000-00004E010000}"/>
    <cellStyle name="60% - Accent6 3" xfId="412" xr:uid="{00000000-0005-0000-0000-00004F010000}"/>
    <cellStyle name="60% - Accent6 3 2" xfId="413" xr:uid="{00000000-0005-0000-0000-000050010000}"/>
    <cellStyle name="60% - Accent6 3 3" xfId="414" xr:uid="{00000000-0005-0000-0000-000051010000}"/>
    <cellStyle name="60% - Accent6 4" xfId="415" xr:uid="{00000000-0005-0000-0000-000052010000}"/>
    <cellStyle name="60% - Accent6 4 2" xfId="416" xr:uid="{00000000-0005-0000-0000-000053010000}"/>
    <cellStyle name="60% - Accent6 4 3" xfId="417" xr:uid="{00000000-0005-0000-0000-000054010000}"/>
    <cellStyle name="60% - Accent6 5" xfId="418" xr:uid="{00000000-0005-0000-0000-000055010000}"/>
    <cellStyle name="60% - Accent6 6" xfId="419" xr:uid="{00000000-0005-0000-0000-000056010000}"/>
    <cellStyle name="60% - Accent6 7" xfId="420" xr:uid="{00000000-0005-0000-0000-000057010000}"/>
    <cellStyle name="60% - Accent6 8" xfId="421" xr:uid="{00000000-0005-0000-0000-000058010000}"/>
    <cellStyle name="60% - Accent6 9" xfId="422" xr:uid="{00000000-0005-0000-0000-000059010000}"/>
    <cellStyle name="Accent1 10" xfId="423" xr:uid="{00000000-0005-0000-0000-00005A010000}"/>
    <cellStyle name="Accent1 11" xfId="424" xr:uid="{00000000-0005-0000-0000-00005B010000}"/>
    <cellStyle name="Accent1 12" xfId="425" xr:uid="{00000000-0005-0000-0000-00005C010000}"/>
    <cellStyle name="Accent1 2" xfId="426" xr:uid="{00000000-0005-0000-0000-00005D010000}"/>
    <cellStyle name="Accent1 2 2" xfId="427" xr:uid="{00000000-0005-0000-0000-00005E010000}"/>
    <cellStyle name="Accent1 2 3" xfId="428" xr:uid="{00000000-0005-0000-0000-00005F010000}"/>
    <cellStyle name="Accent1 3" xfId="429" xr:uid="{00000000-0005-0000-0000-000060010000}"/>
    <cellStyle name="Accent1 3 2" xfId="430" xr:uid="{00000000-0005-0000-0000-000061010000}"/>
    <cellStyle name="Accent1 3 3" xfId="431" xr:uid="{00000000-0005-0000-0000-000062010000}"/>
    <cellStyle name="Accent1 4" xfId="432" xr:uid="{00000000-0005-0000-0000-000063010000}"/>
    <cellStyle name="Accent1 4 2" xfId="433" xr:uid="{00000000-0005-0000-0000-000064010000}"/>
    <cellStyle name="Accent1 4 3" xfId="434" xr:uid="{00000000-0005-0000-0000-000065010000}"/>
    <cellStyle name="Accent1 5" xfId="435" xr:uid="{00000000-0005-0000-0000-000066010000}"/>
    <cellStyle name="Accent1 6" xfId="436" xr:uid="{00000000-0005-0000-0000-000067010000}"/>
    <cellStyle name="Accent1 7" xfId="437" xr:uid="{00000000-0005-0000-0000-000068010000}"/>
    <cellStyle name="Accent1 8" xfId="438" xr:uid="{00000000-0005-0000-0000-000069010000}"/>
    <cellStyle name="Accent1 9" xfId="439" xr:uid="{00000000-0005-0000-0000-00006A010000}"/>
    <cellStyle name="Accent2 10" xfId="440" xr:uid="{00000000-0005-0000-0000-00006B010000}"/>
    <cellStyle name="Accent2 11" xfId="441" xr:uid="{00000000-0005-0000-0000-00006C010000}"/>
    <cellStyle name="Accent2 12" xfId="442" xr:uid="{00000000-0005-0000-0000-00006D010000}"/>
    <cellStyle name="Accent2 2" xfId="443" xr:uid="{00000000-0005-0000-0000-00006E010000}"/>
    <cellStyle name="Accent2 2 2" xfId="444" xr:uid="{00000000-0005-0000-0000-00006F010000}"/>
    <cellStyle name="Accent2 2 3" xfId="445" xr:uid="{00000000-0005-0000-0000-000070010000}"/>
    <cellStyle name="Accent2 3" xfId="446" xr:uid="{00000000-0005-0000-0000-000071010000}"/>
    <cellStyle name="Accent2 3 2" xfId="447" xr:uid="{00000000-0005-0000-0000-000072010000}"/>
    <cellStyle name="Accent2 3 3" xfId="448" xr:uid="{00000000-0005-0000-0000-000073010000}"/>
    <cellStyle name="Accent2 4" xfId="449" xr:uid="{00000000-0005-0000-0000-000074010000}"/>
    <cellStyle name="Accent2 4 2" xfId="450" xr:uid="{00000000-0005-0000-0000-000075010000}"/>
    <cellStyle name="Accent2 4 3" xfId="451" xr:uid="{00000000-0005-0000-0000-000076010000}"/>
    <cellStyle name="Accent2 5" xfId="452" xr:uid="{00000000-0005-0000-0000-000077010000}"/>
    <cellStyle name="Accent2 6" xfId="453" xr:uid="{00000000-0005-0000-0000-000078010000}"/>
    <cellStyle name="Accent2 7" xfId="454" xr:uid="{00000000-0005-0000-0000-000079010000}"/>
    <cellStyle name="Accent2 8" xfId="455" xr:uid="{00000000-0005-0000-0000-00007A010000}"/>
    <cellStyle name="Accent2 9" xfId="456" xr:uid="{00000000-0005-0000-0000-00007B010000}"/>
    <cellStyle name="Accent3 10" xfId="457" xr:uid="{00000000-0005-0000-0000-00007C010000}"/>
    <cellStyle name="Accent3 11" xfId="458" xr:uid="{00000000-0005-0000-0000-00007D010000}"/>
    <cellStyle name="Accent3 12" xfId="459" xr:uid="{00000000-0005-0000-0000-00007E010000}"/>
    <cellStyle name="Accent3 2" xfId="460" xr:uid="{00000000-0005-0000-0000-00007F010000}"/>
    <cellStyle name="Accent3 2 2" xfId="461" xr:uid="{00000000-0005-0000-0000-000080010000}"/>
    <cellStyle name="Accent3 2 3" xfId="462" xr:uid="{00000000-0005-0000-0000-000081010000}"/>
    <cellStyle name="Accent3 3" xfId="463" xr:uid="{00000000-0005-0000-0000-000082010000}"/>
    <cellStyle name="Accent3 3 2" xfId="464" xr:uid="{00000000-0005-0000-0000-000083010000}"/>
    <cellStyle name="Accent3 3 3" xfId="465" xr:uid="{00000000-0005-0000-0000-000084010000}"/>
    <cellStyle name="Accent3 4" xfId="466" xr:uid="{00000000-0005-0000-0000-000085010000}"/>
    <cellStyle name="Accent3 4 2" xfId="467" xr:uid="{00000000-0005-0000-0000-000086010000}"/>
    <cellStyle name="Accent3 4 3" xfId="468" xr:uid="{00000000-0005-0000-0000-000087010000}"/>
    <cellStyle name="Accent3 5" xfId="469" xr:uid="{00000000-0005-0000-0000-000088010000}"/>
    <cellStyle name="Accent3 6" xfId="470" xr:uid="{00000000-0005-0000-0000-000089010000}"/>
    <cellStyle name="Accent3 7" xfId="471" xr:uid="{00000000-0005-0000-0000-00008A010000}"/>
    <cellStyle name="Accent3 8" xfId="472" xr:uid="{00000000-0005-0000-0000-00008B010000}"/>
    <cellStyle name="Accent3 9" xfId="473" xr:uid="{00000000-0005-0000-0000-00008C010000}"/>
    <cellStyle name="Accent4 10" xfId="474" xr:uid="{00000000-0005-0000-0000-00008D010000}"/>
    <cellStyle name="Accent4 11" xfId="475" xr:uid="{00000000-0005-0000-0000-00008E010000}"/>
    <cellStyle name="Accent4 12" xfId="476" xr:uid="{00000000-0005-0000-0000-00008F010000}"/>
    <cellStyle name="Accent4 2" xfId="477" xr:uid="{00000000-0005-0000-0000-000090010000}"/>
    <cellStyle name="Accent4 2 2" xfId="478" xr:uid="{00000000-0005-0000-0000-000091010000}"/>
    <cellStyle name="Accent4 2 3" xfId="479" xr:uid="{00000000-0005-0000-0000-000092010000}"/>
    <cellStyle name="Accent4 3" xfId="480" xr:uid="{00000000-0005-0000-0000-000093010000}"/>
    <cellStyle name="Accent4 3 2" xfId="481" xr:uid="{00000000-0005-0000-0000-000094010000}"/>
    <cellStyle name="Accent4 3 3" xfId="482" xr:uid="{00000000-0005-0000-0000-000095010000}"/>
    <cellStyle name="Accent4 4" xfId="483" xr:uid="{00000000-0005-0000-0000-000096010000}"/>
    <cellStyle name="Accent4 4 2" xfId="484" xr:uid="{00000000-0005-0000-0000-000097010000}"/>
    <cellStyle name="Accent4 4 3" xfId="485" xr:uid="{00000000-0005-0000-0000-000098010000}"/>
    <cellStyle name="Accent4 5" xfId="486" xr:uid="{00000000-0005-0000-0000-000099010000}"/>
    <cellStyle name="Accent4 6" xfId="487" xr:uid="{00000000-0005-0000-0000-00009A010000}"/>
    <cellStyle name="Accent4 7" xfId="488" xr:uid="{00000000-0005-0000-0000-00009B010000}"/>
    <cellStyle name="Accent4 8" xfId="489" xr:uid="{00000000-0005-0000-0000-00009C010000}"/>
    <cellStyle name="Accent4 9" xfId="490" xr:uid="{00000000-0005-0000-0000-00009D010000}"/>
    <cellStyle name="Accent5 10" xfId="491" xr:uid="{00000000-0005-0000-0000-00009E010000}"/>
    <cellStyle name="Accent5 11" xfId="492" xr:uid="{00000000-0005-0000-0000-00009F010000}"/>
    <cellStyle name="Accent5 12" xfId="493" xr:uid="{00000000-0005-0000-0000-0000A0010000}"/>
    <cellStyle name="Accent5 2" xfId="494" xr:uid="{00000000-0005-0000-0000-0000A1010000}"/>
    <cellStyle name="Accent5 2 2" xfId="495" xr:uid="{00000000-0005-0000-0000-0000A2010000}"/>
    <cellStyle name="Accent5 2 3" xfId="496" xr:uid="{00000000-0005-0000-0000-0000A3010000}"/>
    <cellStyle name="Accent5 3" xfId="497" xr:uid="{00000000-0005-0000-0000-0000A4010000}"/>
    <cellStyle name="Accent5 3 2" xfId="498" xr:uid="{00000000-0005-0000-0000-0000A5010000}"/>
    <cellStyle name="Accent5 3 3" xfId="499" xr:uid="{00000000-0005-0000-0000-0000A6010000}"/>
    <cellStyle name="Accent5 4" xfId="500" xr:uid="{00000000-0005-0000-0000-0000A7010000}"/>
    <cellStyle name="Accent5 4 2" xfId="501" xr:uid="{00000000-0005-0000-0000-0000A8010000}"/>
    <cellStyle name="Accent5 4 3" xfId="502" xr:uid="{00000000-0005-0000-0000-0000A9010000}"/>
    <cellStyle name="Accent5 5" xfId="503" xr:uid="{00000000-0005-0000-0000-0000AA010000}"/>
    <cellStyle name="Accent5 6" xfId="504" xr:uid="{00000000-0005-0000-0000-0000AB010000}"/>
    <cellStyle name="Accent5 7" xfId="505" xr:uid="{00000000-0005-0000-0000-0000AC010000}"/>
    <cellStyle name="Accent5 8" xfId="506" xr:uid="{00000000-0005-0000-0000-0000AD010000}"/>
    <cellStyle name="Accent5 9" xfId="507" xr:uid="{00000000-0005-0000-0000-0000AE010000}"/>
    <cellStyle name="Accent6 10" xfId="508" xr:uid="{00000000-0005-0000-0000-0000AF010000}"/>
    <cellStyle name="Accent6 11" xfId="509" xr:uid="{00000000-0005-0000-0000-0000B0010000}"/>
    <cellStyle name="Accent6 12" xfId="510" xr:uid="{00000000-0005-0000-0000-0000B1010000}"/>
    <cellStyle name="Accent6 2" xfId="511" xr:uid="{00000000-0005-0000-0000-0000B2010000}"/>
    <cellStyle name="Accent6 2 2" xfId="512" xr:uid="{00000000-0005-0000-0000-0000B3010000}"/>
    <cellStyle name="Accent6 2 3" xfId="513" xr:uid="{00000000-0005-0000-0000-0000B4010000}"/>
    <cellStyle name="Accent6 3" xfId="514" xr:uid="{00000000-0005-0000-0000-0000B5010000}"/>
    <cellStyle name="Accent6 3 2" xfId="515" xr:uid="{00000000-0005-0000-0000-0000B6010000}"/>
    <cellStyle name="Accent6 3 3" xfId="516" xr:uid="{00000000-0005-0000-0000-0000B7010000}"/>
    <cellStyle name="Accent6 4" xfId="517" xr:uid="{00000000-0005-0000-0000-0000B8010000}"/>
    <cellStyle name="Accent6 4 2" xfId="518" xr:uid="{00000000-0005-0000-0000-0000B9010000}"/>
    <cellStyle name="Accent6 4 3" xfId="519" xr:uid="{00000000-0005-0000-0000-0000BA010000}"/>
    <cellStyle name="Accent6 5" xfId="520" xr:uid="{00000000-0005-0000-0000-0000BB010000}"/>
    <cellStyle name="Accent6 6" xfId="521" xr:uid="{00000000-0005-0000-0000-0000BC010000}"/>
    <cellStyle name="Accent6 7" xfId="522" xr:uid="{00000000-0005-0000-0000-0000BD010000}"/>
    <cellStyle name="Accent6 8" xfId="523" xr:uid="{00000000-0005-0000-0000-0000BE010000}"/>
    <cellStyle name="Accent6 9" xfId="524" xr:uid="{00000000-0005-0000-0000-0000BF010000}"/>
    <cellStyle name="Bad 10" xfId="525" xr:uid="{00000000-0005-0000-0000-0000C0010000}"/>
    <cellStyle name="Bad 11" xfId="526" xr:uid="{00000000-0005-0000-0000-0000C1010000}"/>
    <cellStyle name="Bad 12" xfId="527" xr:uid="{00000000-0005-0000-0000-0000C2010000}"/>
    <cellStyle name="Bad 2" xfId="528" xr:uid="{00000000-0005-0000-0000-0000C3010000}"/>
    <cellStyle name="Bad 2 2" xfId="529" xr:uid="{00000000-0005-0000-0000-0000C4010000}"/>
    <cellStyle name="Bad 2 3" xfId="530" xr:uid="{00000000-0005-0000-0000-0000C5010000}"/>
    <cellStyle name="Bad 3" xfId="531" xr:uid="{00000000-0005-0000-0000-0000C6010000}"/>
    <cellStyle name="Bad 3 2" xfId="532" xr:uid="{00000000-0005-0000-0000-0000C7010000}"/>
    <cellStyle name="Bad 3 3" xfId="533" xr:uid="{00000000-0005-0000-0000-0000C8010000}"/>
    <cellStyle name="Bad 4" xfId="534" xr:uid="{00000000-0005-0000-0000-0000C9010000}"/>
    <cellStyle name="Bad 4 2" xfId="535" xr:uid="{00000000-0005-0000-0000-0000CA010000}"/>
    <cellStyle name="Bad 4 3" xfId="536" xr:uid="{00000000-0005-0000-0000-0000CB010000}"/>
    <cellStyle name="Bad 5" xfId="537" xr:uid="{00000000-0005-0000-0000-0000CC010000}"/>
    <cellStyle name="Bad 6" xfId="538" xr:uid="{00000000-0005-0000-0000-0000CD010000}"/>
    <cellStyle name="Bad 7" xfId="539" xr:uid="{00000000-0005-0000-0000-0000CE010000}"/>
    <cellStyle name="Bad 8" xfId="540" xr:uid="{00000000-0005-0000-0000-0000CF010000}"/>
    <cellStyle name="Bad 9" xfId="541" xr:uid="{00000000-0005-0000-0000-0000D0010000}"/>
    <cellStyle name="Blank [$]" xfId="9" xr:uid="{00000000-0005-0000-0000-0000D1010000}"/>
    <cellStyle name="Blank [%]" xfId="10" xr:uid="{00000000-0005-0000-0000-0000D2010000}"/>
    <cellStyle name="Blank [,]" xfId="11" xr:uid="{00000000-0005-0000-0000-0000D3010000}"/>
    <cellStyle name="Blank [1$]" xfId="12" xr:uid="{00000000-0005-0000-0000-0000D4010000}"/>
    <cellStyle name="Blank [1%]" xfId="13" xr:uid="{00000000-0005-0000-0000-0000D5010000}"/>
    <cellStyle name="Blank [1,]" xfId="14" xr:uid="{00000000-0005-0000-0000-0000D6010000}"/>
    <cellStyle name="Blank [2$]" xfId="15" xr:uid="{00000000-0005-0000-0000-0000D7010000}"/>
    <cellStyle name="Blank [2%]" xfId="16" xr:uid="{00000000-0005-0000-0000-0000D8010000}"/>
    <cellStyle name="Blank [2,]" xfId="17" xr:uid="{00000000-0005-0000-0000-0000D9010000}"/>
    <cellStyle name="Blank [3$]" xfId="18" xr:uid="{00000000-0005-0000-0000-0000DA010000}"/>
    <cellStyle name="Blank [3%]" xfId="19" xr:uid="{00000000-0005-0000-0000-0000DB010000}"/>
    <cellStyle name="Blank [3,]" xfId="20" xr:uid="{00000000-0005-0000-0000-0000DC010000}"/>
    <cellStyle name="Blank [D-M-Y]" xfId="21" xr:uid="{00000000-0005-0000-0000-0000DD010000}"/>
    <cellStyle name="Blank [K,]" xfId="22" xr:uid="{00000000-0005-0000-0000-0000DE010000}"/>
    <cellStyle name="Blank[,]" xfId="23" xr:uid="{00000000-0005-0000-0000-0000DF010000}"/>
    <cellStyle name="Bold/Border" xfId="24" xr:uid="{00000000-0005-0000-0000-0000E0010000}"/>
    <cellStyle name="Bullet" xfId="25" xr:uid="{00000000-0005-0000-0000-0000E1010000}"/>
    <cellStyle name="Bun" xfId="542" xr:uid="{00000000-0005-0000-0000-0000E2010000}"/>
    <cellStyle name="Calcul" xfId="543" xr:uid="{00000000-0005-0000-0000-0000E3010000}"/>
    <cellStyle name="Calculation 10" xfId="544" xr:uid="{00000000-0005-0000-0000-0000E4010000}"/>
    <cellStyle name="Calculation 11" xfId="545" xr:uid="{00000000-0005-0000-0000-0000E5010000}"/>
    <cellStyle name="Calculation 12" xfId="546" xr:uid="{00000000-0005-0000-0000-0000E6010000}"/>
    <cellStyle name="Calculation 2" xfId="547" xr:uid="{00000000-0005-0000-0000-0000E7010000}"/>
    <cellStyle name="Calculation 2 2" xfId="548" xr:uid="{00000000-0005-0000-0000-0000E8010000}"/>
    <cellStyle name="Calculation 2 3" xfId="549" xr:uid="{00000000-0005-0000-0000-0000E9010000}"/>
    <cellStyle name="Calculation 3" xfId="550" xr:uid="{00000000-0005-0000-0000-0000EA010000}"/>
    <cellStyle name="Calculation 3 2" xfId="551" xr:uid="{00000000-0005-0000-0000-0000EB010000}"/>
    <cellStyle name="Calculation 3 3" xfId="552" xr:uid="{00000000-0005-0000-0000-0000EC010000}"/>
    <cellStyle name="Calculation 4" xfId="553" xr:uid="{00000000-0005-0000-0000-0000ED010000}"/>
    <cellStyle name="Calculation 4 2" xfId="554" xr:uid="{00000000-0005-0000-0000-0000EE010000}"/>
    <cellStyle name="Calculation 4 3" xfId="555" xr:uid="{00000000-0005-0000-0000-0000EF010000}"/>
    <cellStyle name="Calculation 5" xfId="556" xr:uid="{00000000-0005-0000-0000-0000F0010000}"/>
    <cellStyle name="Calculation 6" xfId="557" xr:uid="{00000000-0005-0000-0000-0000F1010000}"/>
    <cellStyle name="Calculation 7" xfId="558" xr:uid="{00000000-0005-0000-0000-0000F2010000}"/>
    <cellStyle name="Calculation 8" xfId="559" xr:uid="{00000000-0005-0000-0000-0000F3010000}"/>
    <cellStyle name="Calculation 9" xfId="560" xr:uid="{00000000-0005-0000-0000-0000F4010000}"/>
    <cellStyle name="Celulă legată" xfId="561" xr:uid="{00000000-0005-0000-0000-0000F5010000}"/>
    <cellStyle name="Check Cell 10" xfId="562" xr:uid="{00000000-0005-0000-0000-0000F6010000}"/>
    <cellStyle name="Check Cell 11" xfId="563" xr:uid="{00000000-0005-0000-0000-0000F7010000}"/>
    <cellStyle name="Check Cell 12" xfId="564" xr:uid="{00000000-0005-0000-0000-0000F8010000}"/>
    <cellStyle name="Check Cell 2" xfId="565" xr:uid="{00000000-0005-0000-0000-0000F9010000}"/>
    <cellStyle name="Check Cell 2 2" xfId="566" xr:uid="{00000000-0005-0000-0000-0000FA010000}"/>
    <cellStyle name="Check Cell 2 3" xfId="567" xr:uid="{00000000-0005-0000-0000-0000FB010000}"/>
    <cellStyle name="Check Cell 3" xfId="568" xr:uid="{00000000-0005-0000-0000-0000FC010000}"/>
    <cellStyle name="Check Cell 3 2" xfId="569" xr:uid="{00000000-0005-0000-0000-0000FD010000}"/>
    <cellStyle name="Check Cell 3 3" xfId="570" xr:uid="{00000000-0005-0000-0000-0000FE010000}"/>
    <cellStyle name="Check Cell 4" xfId="571" xr:uid="{00000000-0005-0000-0000-0000FF010000}"/>
    <cellStyle name="Check Cell 4 2" xfId="572" xr:uid="{00000000-0005-0000-0000-000000020000}"/>
    <cellStyle name="Check Cell 4 3" xfId="573" xr:uid="{00000000-0005-0000-0000-000001020000}"/>
    <cellStyle name="Check Cell 5" xfId="574" xr:uid="{00000000-0005-0000-0000-000002020000}"/>
    <cellStyle name="Check Cell 6" xfId="575" xr:uid="{00000000-0005-0000-0000-000003020000}"/>
    <cellStyle name="Check Cell 7" xfId="576" xr:uid="{00000000-0005-0000-0000-000004020000}"/>
    <cellStyle name="Check Cell 8" xfId="577" xr:uid="{00000000-0005-0000-0000-000005020000}"/>
    <cellStyle name="Check Cell 9" xfId="578" xr:uid="{00000000-0005-0000-0000-000006020000}"/>
    <cellStyle name="Comma" xfId="1" builtinId="3"/>
    <cellStyle name="Comma  - Style1" xfId="26" xr:uid="{00000000-0005-0000-0000-000008020000}"/>
    <cellStyle name="Comma  - Style2" xfId="27" xr:uid="{00000000-0005-0000-0000-000009020000}"/>
    <cellStyle name="Comma  - Style3" xfId="28" xr:uid="{00000000-0005-0000-0000-00000A020000}"/>
    <cellStyle name="Comma  - Style4" xfId="29" xr:uid="{00000000-0005-0000-0000-00000B020000}"/>
    <cellStyle name="Comma  - Style5" xfId="30" xr:uid="{00000000-0005-0000-0000-00000C020000}"/>
    <cellStyle name="Comma  - Style6" xfId="31" xr:uid="{00000000-0005-0000-0000-00000D020000}"/>
    <cellStyle name="Comma  - Style7" xfId="32" xr:uid="{00000000-0005-0000-0000-00000E020000}"/>
    <cellStyle name="Comma  - Style8" xfId="33" xr:uid="{00000000-0005-0000-0000-00000F020000}"/>
    <cellStyle name="Comma [1]" xfId="34" xr:uid="{00000000-0005-0000-0000-000010020000}"/>
    <cellStyle name="Comma [2]" xfId="35" xr:uid="{00000000-0005-0000-0000-000011020000}"/>
    <cellStyle name="Comma [3]" xfId="36" xr:uid="{00000000-0005-0000-0000-000012020000}"/>
    <cellStyle name="Comma 2" xfId="37" xr:uid="{00000000-0005-0000-0000-000013020000}"/>
    <cellStyle name="Comma 3" xfId="579" xr:uid="{00000000-0005-0000-0000-000014020000}"/>
    <cellStyle name="Comma 3 2" xfId="863" xr:uid="{00000000-0005-0000-0000-000015020000}"/>
    <cellStyle name="Comma 4" xfId="580" xr:uid="{00000000-0005-0000-0000-000016020000}"/>
    <cellStyle name="Comma 5" xfId="581" xr:uid="{00000000-0005-0000-0000-000017020000}"/>
    <cellStyle name="Comma 5 2" xfId="861" xr:uid="{00000000-0005-0000-0000-000018020000}"/>
    <cellStyle name="Comma 5 2 2" xfId="872" xr:uid="{00000000-0005-0000-0000-000019020000}"/>
    <cellStyle name="Comma 6" xfId="582" xr:uid="{00000000-0005-0000-0000-00001A020000}"/>
    <cellStyle name="Comma 7" xfId="864" xr:uid="{00000000-0005-0000-0000-00001B020000}"/>
    <cellStyle name="Comma 8" xfId="875" xr:uid="{00000000-0005-0000-0000-00001C020000}"/>
    <cellStyle name="Currency [1]" xfId="38" xr:uid="{00000000-0005-0000-0000-00001D020000}"/>
    <cellStyle name="Currency [2]" xfId="39" xr:uid="{00000000-0005-0000-0000-00001E020000}"/>
    <cellStyle name="Currency [3]" xfId="40" xr:uid="{00000000-0005-0000-0000-00001F020000}"/>
    <cellStyle name="Currency_Scenarii rambursare imprumut hibrid CLCraiova 170106 3" xfId="76" xr:uid="{00000000-0005-0000-0000-000020020000}"/>
    <cellStyle name="Dash" xfId="41" xr:uid="{00000000-0005-0000-0000-000021020000}"/>
    <cellStyle name="Date" xfId="42" xr:uid="{00000000-0005-0000-0000-000022020000}"/>
    <cellStyle name="Date [D-M-Y]" xfId="43" xr:uid="{00000000-0005-0000-0000-000023020000}"/>
    <cellStyle name="Date [M/D/Y]" xfId="44" xr:uid="{00000000-0005-0000-0000-000024020000}"/>
    <cellStyle name="Date [M/Y]" xfId="45" xr:uid="{00000000-0005-0000-0000-000025020000}"/>
    <cellStyle name="Date [M-Y]" xfId="46" xr:uid="{00000000-0005-0000-0000-000026020000}"/>
    <cellStyle name="Date_Evolutie 2003-2007 pt raport 2006" xfId="47" xr:uid="{00000000-0005-0000-0000-000027020000}"/>
    <cellStyle name="Eronat" xfId="583" xr:uid="{00000000-0005-0000-0000-000028020000}"/>
    <cellStyle name="Euro" xfId="48" xr:uid="{00000000-0005-0000-0000-000029020000}"/>
    <cellStyle name="Explanatory Text 10" xfId="584" xr:uid="{00000000-0005-0000-0000-00002A020000}"/>
    <cellStyle name="Explanatory Text 11" xfId="585" xr:uid="{00000000-0005-0000-0000-00002B020000}"/>
    <cellStyle name="Explanatory Text 12" xfId="586" xr:uid="{00000000-0005-0000-0000-00002C020000}"/>
    <cellStyle name="Explanatory Text 2" xfId="587" xr:uid="{00000000-0005-0000-0000-00002D020000}"/>
    <cellStyle name="Explanatory Text 2 2" xfId="588" xr:uid="{00000000-0005-0000-0000-00002E020000}"/>
    <cellStyle name="Explanatory Text 2 3" xfId="589" xr:uid="{00000000-0005-0000-0000-00002F020000}"/>
    <cellStyle name="Explanatory Text 3" xfId="590" xr:uid="{00000000-0005-0000-0000-000030020000}"/>
    <cellStyle name="Explanatory Text 3 2" xfId="591" xr:uid="{00000000-0005-0000-0000-000031020000}"/>
    <cellStyle name="Explanatory Text 3 3" xfId="592" xr:uid="{00000000-0005-0000-0000-000032020000}"/>
    <cellStyle name="Explanatory Text 4" xfId="593" xr:uid="{00000000-0005-0000-0000-000033020000}"/>
    <cellStyle name="Explanatory Text 4 2" xfId="594" xr:uid="{00000000-0005-0000-0000-000034020000}"/>
    <cellStyle name="Explanatory Text 4 3" xfId="595" xr:uid="{00000000-0005-0000-0000-000035020000}"/>
    <cellStyle name="Explanatory Text 5" xfId="596" xr:uid="{00000000-0005-0000-0000-000036020000}"/>
    <cellStyle name="Explanatory Text 6" xfId="597" xr:uid="{00000000-0005-0000-0000-000037020000}"/>
    <cellStyle name="Explanatory Text 7" xfId="598" xr:uid="{00000000-0005-0000-0000-000038020000}"/>
    <cellStyle name="Explanatory Text 8" xfId="599" xr:uid="{00000000-0005-0000-0000-000039020000}"/>
    <cellStyle name="Explanatory Text 9" xfId="600" xr:uid="{00000000-0005-0000-0000-00003A020000}"/>
    <cellStyle name="Fraction" xfId="49" xr:uid="{00000000-0005-0000-0000-00003B020000}"/>
    <cellStyle name="Fraction [8]" xfId="50" xr:uid="{00000000-0005-0000-0000-00003C020000}"/>
    <cellStyle name="Fraction [Bl]" xfId="51" xr:uid="{00000000-0005-0000-0000-00003D020000}"/>
    <cellStyle name="Fraction_Evolutie 2003-2007 pt raport 2006" xfId="52" xr:uid="{00000000-0005-0000-0000-00003E020000}"/>
    <cellStyle name="Good 10" xfId="601" xr:uid="{00000000-0005-0000-0000-00003F020000}"/>
    <cellStyle name="Good 11" xfId="602" xr:uid="{00000000-0005-0000-0000-000040020000}"/>
    <cellStyle name="Good 12" xfId="603" xr:uid="{00000000-0005-0000-0000-000041020000}"/>
    <cellStyle name="Good 2" xfId="604" xr:uid="{00000000-0005-0000-0000-000042020000}"/>
    <cellStyle name="Good 2 2" xfId="605" xr:uid="{00000000-0005-0000-0000-000043020000}"/>
    <cellStyle name="Good 2 3" xfId="606" xr:uid="{00000000-0005-0000-0000-000044020000}"/>
    <cellStyle name="Good 3" xfId="607" xr:uid="{00000000-0005-0000-0000-000045020000}"/>
    <cellStyle name="Good 3 2" xfId="608" xr:uid="{00000000-0005-0000-0000-000046020000}"/>
    <cellStyle name="Good 3 3" xfId="609" xr:uid="{00000000-0005-0000-0000-000047020000}"/>
    <cellStyle name="Good 4" xfId="610" xr:uid="{00000000-0005-0000-0000-000048020000}"/>
    <cellStyle name="Good 4 2" xfId="611" xr:uid="{00000000-0005-0000-0000-000049020000}"/>
    <cellStyle name="Good 4 3" xfId="612" xr:uid="{00000000-0005-0000-0000-00004A020000}"/>
    <cellStyle name="Good 5" xfId="613" xr:uid="{00000000-0005-0000-0000-00004B020000}"/>
    <cellStyle name="Good 6" xfId="614" xr:uid="{00000000-0005-0000-0000-00004C020000}"/>
    <cellStyle name="Good 7" xfId="615" xr:uid="{00000000-0005-0000-0000-00004D020000}"/>
    <cellStyle name="Good 8" xfId="616" xr:uid="{00000000-0005-0000-0000-00004E020000}"/>
    <cellStyle name="Good 9" xfId="617" xr:uid="{00000000-0005-0000-0000-00004F020000}"/>
    <cellStyle name="Heading 1 10" xfId="618" xr:uid="{00000000-0005-0000-0000-000050020000}"/>
    <cellStyle name="Heading 1 11" xfId="619" xr:uid="{00000000-0005-0000-0000-000051020000}"/>
    <cellStyle name="Heading 1 12" xfId="620" xr:uid="{00000000-0005-0000-0000-000052020000}"/>
    <cellStyle name="Heading 1 2" xfId="621" xr:uid="{00000000-0005-0000-0000-000053020000}"/>
    <cellStyle name="Heading 1 2 2" xfId="622" xr:uid="{00000000-0005-0000-0000-000054020000}"/>
    <cellStyle name="Heading 1 2 3" xfId="623" xr:uid="{00000000-0005-0000-0000-000055020000}"/>
    <cellStyle name="Heading 1 3" xfId="624" xr:uid="{00000000-0005-0000-0000-000056020000}"/>
    <cellStyle name="Heading 1 3 2" xfId="625" xr:uid="{00000000-0005-0000-0000-000057020000}"/>
    <cellStyle name="Heading 1 3 3" xfId="626" xr:uid="{00000000-0005-0000-0000-000058020000}"/>
    <cellStyle name="Heading 1 4" xfId="627" xr:uid="{00000000-0005-0000-0000-000059020000}"/>
    <cellStyle name="Heading 1 4 2" xfId="628" xr:uid="{00000000-0005-0000-0000-00005A020000}"/>
    <cellStyle name="Heading 1 4 3" xfId="629" xr:uid="{00000000-0005-0000-0000-00005B020000}"/>
    <cellStyle name="Heading 1 5" xfId="630" xr:uid="{00000000-0005-0000-0000-00005C020000}"/>
    <cellStyle name="Heading 1 6" xfId="631" xr:uid="{00000000-0005-0000-0000-00005D020000}"/>
    <cellStyle name="Heading 1 7" xfId="632" xr:uid="{00000000-0005-0000-0000-00005E020000}"/>
    <cellStyle name="Heading 1 8" xfId="633" xr:uid="{00000000-0005-0000-0000-00005F020000}"/>
    <cellStyle name="Heading 1 9" xfId="634" xr:uid="{00000000-0005-0000-0000-000060020000}"/>
    <cellStyle name="Heading 2 10" xfId="635" xr:uid="{00000000-0005-0000-0000-000061020000}"/>
    <cellStyle name="Heading 2 11" xfId="636" xr:uid="{00000000-0005-0000-0000-000062020000}"/>
    <cellStyle name="Heading 2 12" xfId="637" xr:uid="{00000000-0005-0000-0000-000063020000}"/>
    <cellStyle name="Heading 2 2" xfId="638" xr:uid="{00000000-0005-0000-0000-000064020000}"/>
    <cellStyle name="Heading 2 2 2" xfId="639" xr:uid="{00000000-0005-0000-0000-000065020000}"/>
    <cellStyle name="Heading 2 2 3" xfId="640" xr:uid="{00000000-0005-0000-0000-000066020000}"/>
    <cellStyle name="Heading 2 3" xfId="641" xr:uid="{00000000-0005-0000-0000-000067020000}"/>
    <cellStyle name="Heading 2 3 2" xfId="642" xr:uid="{00000000-0005-0000-0000-000068020000}"/>
    <cellStyle name="Heading 2 3 3" xfId="643" xr:uid="{00000000-0005-0000-0000-000069020000}"/>
    <cellStyle name="Heading 2 4" xfId="644" xr:uid="{00000000-0005-0000-0000-00006A020000}"/>
    <cellStyle name="Heading 2 4 2" xfId="645" xr:uid="{00000000-0005-0000-0000-00006B020000}"/>
    <cellStyle name="Heading 2 4 3" xfId="646" xr:uid="{00000000-0005-0000-0000-00006C020000}"/>
    <cellStyle name="Heading 2 5" xfId="647" xr:uid="{00000000-0005-0000-0000-00006D020000}"/>
    <cellStyle name="Heading 2 6" xfId="648" xr:uid="{00000000-0005-0000-0000-00006E020000}"/>
    <cellStyle name="Heading 2 7" xfId="649" xr:uid="{00000000-0005-0000-0000-00006F020000}"/>
    <cellStyle name="Heading 2 8" xfId="650" xr:uid="{00000000-0005-0000-0000-000070020000}"/>
    <cellStyle name="Heading 2 9" xfId="651" xr:uid="{00000000-0005-0000-0000-000071020000}"/>
    <cellStyle name="Heading 3 10" xfId="652" xr:uid="{00000000-0005-0000-0000-000072020000}"/>
    <cellStyle name="Heading 3 11" xfId="653" xr:uid="{00000000-0005-0000-0000-000073020000}"/>
    <cellStyle name="Heading 3 12" xfId="654" xr:uid="{00000000-0005-0000-0000-000074020000}"/>
    <cellStyle name="Heading 3 2" xfId="655" xr:uid="{00000000-0005-0000-0000-000075020000}"/>
    <cellStyle name="Heading 3 2 2" xfId="656" xr:uid="{00000000-0005-0000-0000-000076020000}"/>
    <cellStyle name="Heading 3 2 3" xfId="657" xr:uid="{00000000-0005-0000-0000-000077020000}"/>
    <cellStyle name="Heading 3 3" xfId="658" xr:uid="{00000000-0005-0000-0000-000078020000}"/>
    <cellStyle name="Heading 3 3 2" xfId="659" xr:uid="{00000000-0005-0000-0000-000079020000}"/>
    <cellStyle name="Heading 3 3 3" xfId="660" xr:uid="{00000000-0005-0000-0000-00007A020000}"/>
    <cellStyle name="Heading 3 4" xfId="661" xr:uid="{00000000-0005-0000-0000-00007B020000}"/>
    <cellStyle name="Heading 3 4 2" xfId="662" xr:uid="{00000000-0005-0000-0000-00007C020000}"/>
    <cellStyle name="Heading 3 4 3" xfId="663" xr:uid="{00000000-0005-0000-0000-00007D020000}"/>
    <cellStyle name="Heading 3 5" xfId="664" xr:uid="{00000000-0005-0000-0000-00007E020000}"/>
    <cellStyle name="Heading 3 6" xfId="665" xr:uid="{00000000-0005-0000-0000-00007F020000}"/>
    <cellStyle name="Heading 3 7" xfId="666" xr:uid="{00000000-0005-0000-0000-000080020000}"/>
    <cellStyle name="Heading 3 8" xfId="667" xr:uid="{00000000-0005-0000-0000-000081020000}"/>
    <cellStyle name="Heading 3 9" xfId="668" xr:uid="{00000000-0005-0000-0000-000082020000}"/>
    <cellStyle name="Heading 4 10" xfId="669" xr:uid="{00000000-0005-0000-0000-000083020000}"/>
    <cellStyle name="Heading 4 11" xfId="670" xr:uid="{00000000-0005-0000-0000-000084020000}"/>
    <cellStyle name="Heading 4 12" xfId="671" xr:uid="{00000000-0005-0000-0000-000085020000}"/>
    <cellStyle name="Heading 4 2" xfId="672" xr:uid="{00000000-0005-0000-0000-000086020000}"/>
    <cellStyle name="Heading 4 2 2" xfId="673" xr:uid="{00000000-0005-0000-0000-000087020000}"/>
    <cellStyle name="Heading 4 2 3" xfId="674" xr:uid="{00000000-0005-0000-0000-000088020000}"/>
    <cellStyle name="Heading 4 3" xfId="675" xr:uid="{00000000-0005-0000-0000-000089020000}"/>
    <cellStyle name="Heading 4 3 2" xfId="676" xr:uid="{00000000-0005-0000-0000-00008A020000}"/>
    <cellStyle name="Heading 4 3 3" xfId="677" xr:uid="{00000000-0005-0000-0000-00008B020000}"/>
    <cellStyle name="Heading 4 4" xfId="678" xr:uid="{00000000-0005-0000-0000-00008C020000}"/>
    <cellStyle name="Heading 4 4 2" xfId="679" xr:uid="{00000000-0005-0000-0000-00008D020000}"/>
    <cellStyle name="Heading 4 4 3" xfId="680" xr:uid="{00000000-0005-0000-0000-00008E020000}"/>
    <cellStyle name="Heading 4 5" xfId="681" xr:uid="{00000000-0005-0000-0000-00008F020000}"/>
    <cellStyle name="Heading 4 6" xfId="682" xr:uid="{00000000-0005-0000-0000-000090020000}"/>
    <cellStyle name="Heading 4 7" xfId="683" xr:uid="{00000000-0005-0000-0000-000091020000}"/>
    <cellStyle name="Heading 4 8" xfId="684" xr:uid="{00000000-0005-0000-0000-000092020000}"/>
    <cellStyle name="Heading 4 9" xfId="685" xr:uid="{00000000-0005-0000-0000-000093020000}"/>
    <cellStyle name="Hidden" xfId="53" xr:uid="{00000000-0005-0000-0000-000094020000}"/>
    <cellStyle name="Hyperlink 2" xfId="865" xr:uid="{00000000-0005-0000-0000-000095020000}"/>
    <cellStyle name="Ieșire" xfId="686" xr:uid="{00000000-0005-0000-0000-000096020000}"/>
    <cellStyle name="Input 10" xfId="687" xr:uid="{00000000-0005-0000-0000-000097020000}"/>
    <cellStyle name="Input 11" xfId="688" xr:uid="{00000000-0005-0000-0000-000098020000}"/>
    <cellStyle name="Input 12" xfId="689" xr:uid="{00000000-0005-0000-0000-000099020000}"/>
    <cellStyle name="Input 2" xfId="690" xr:uid="{00000000-0005-0000-0000-00009A020000}"/>
    <cellStyle name="Input 2 2" xfId="691" xr:uid="{00000000-0005-0000-0000-00009B020000}"/>
    <cellStyle name="Input 2 3" xfId="692" xr:uid="{00000000-0005-0000-0000-00009C020000}"/>
    <cellStyle name="Input 3" xfId="693" xr:uid="{00000000-0005-0000-0000-00009D020000}"/>
    <cellStyle name="Input 3 2" xfId="694" xr:uid="{00000000-0005-0000-0000-00009E020000}"/>
    <cellStyle name="Input 3 3" xfId="695" xr:uid="{00000000-0005-0000-0000-00009F020000}"/>
    <cellStyle name="Input 4" xfId="696" xr:uid="{00000000-0005-0000-0000-0000A0020000}"/>
    <cellStyle name="Input 4 2" xfId="697" xr:uid="{00000000-0005-0000-0000-0000A1020000}"/>
    <cellStyle name="Input 4 3" xfId="698" xr:uid="{00000000-0005-0000-0000-0000A2020000}"/>
    <cellStyle name="Input 5" xfId="699" xr:uid="{00000000-0005-0000-0000-0000A3020000}"/>
    <cellStyle name="Input 6" xfId="700" xr:uid="{00000000-0005-0000-0000-0000A4020000}"/>
    <cellStyle name="Input 7" xfId="701" xr:uid="{00000000-0005-0000-0000-0000A5020000}"/>
    <cellStyle name="Input 8" xfId="702" xr:uid="{00000000-0005-0000-0000-0000A6020000}"/>
    <cellStyle name="Input 9" xfId="703" xr:uid="{00000000-0005-0000-0000-0000A7020000}"/>
    <cellStyle name="Intrare" xfId="704" xr:uid="{00000000-0005-0000-0000-0000A8020000}"/>
    <cellStyle name="Linked Cell 10" xfId="705" xr:uid="{00000000-0005-0000-0000-0000A9020000}"/>
    <cellStyle name="Linked Cell 11" xfId="706" xr:uid="{00000000-0005-0000-0000-0000AA020000}"/>
    <cellStyle name="Linked Cell 12" xfId="707" xr:uid="{00000000-0005-0000-0000-0000AB020000}"/>
    <cellStyle name="Linked Cell 2" xfId="708" xr:uid="{00000000-0005-0000-0000-0000AC020000}"/>
    <cellStyle name="Linked Cell 2 2" xfId="709" xr:uid="{00000000-0005-0000-0000-0000AD020000}"/>
    <cellStyle name="Linked Cell 2 3" xfId="710" xr:uid="{00000000-0005-0000-0000-0000AE020000}"/>
    <cellStyle name="Linked Cell 3" xfId="711" xr:uid="{00000000-0005-0000-0000-0000AF020000}"/>
    <cellStyle name="Linked Cell 3 2" xfId="712" xr:uid="{00000000-0005-0000-0000-0000B0020000}"/>
    <cellStyle name="Linked Cell 3 3" xfId="713" xr:uid="{00000000-0005-0000-0000-0000B1020000}"/>
    <cellStyle name="Linked Cell 4" xfId="714" xr:uid="{00000000-0005-0000-0000-0000B2020000}"/>
    <cellStyle name="Linked Cell 4 2" xfId="715" xr:uid="{00000000-0005-0000-0000-0000B3020000}"/>
    <cellStyle name="Linked Cell 4 3" xfId="716" xr:uid="{00000000-0005-0000-0000-0000B4020000}"/>
    <cellStyle name="Linked Cell 5" xfId="717" xr:uid="{00000000-0005-0000-0000-0000B5020000}"/>
    <cellStyle name="Linked Cell 6" xfId="718" xr:uid="{00000000-0005-0000-0000-0000B6020000}"/>
    <cellStyle name="Linked Cell 7" xfId="719" xr:uid="{00000000-0005-0000-0000-0000B7020000}"/>
    <cellStyle name="Linked Cell 8" xfId="720" xr:uid="{00000000-0005-0000-0000-0000B8020000}"/>
    <cellStyle name="Linked Cell 9" xfId="721" xr:uid="{00000000-0005-0000-0000-0000B9020000}"/>
    <cellStyle name="Neutral 10" xfId="722" xr:uid="{00000000-0005-0000-0000-0000BA020000}"/>
    <cellStyle name="Neutral 11" xfId="723" xr:uid="{00000000-0005-0000-0000-0000BB020000}"/>
    <cellStyle name="Neutral 12" xfId="724" xr:uid="{00000000-0005-0000-0000-0000BC020000}"/>
    <cellStyle name="Neutral 2" xfId="725" xr:uid="{00000000-0005-0000-0000-0000BD020000}"/>
    <cellStyle name="Neutral 2 2" xfId="726" xr:uid="{00000000-0005-0000-0000-0000BE020000}"/>
    <cellStyle name="Neutral 2 3" xfId="727" xr:uid="{00000000-0005-0000-0000-0000BF020000}"/>
    <cellStyle name="Neutral 3" xfId="728" xr:uid="{00000000-0005-0000-0000-0000C0020000}"/>
    <cellStyle name="Neutral 3 2" xfId="729" xr:uid="{00000000-0005-0000-0000-0000C1020000}"/>
    <cellStyle name="Neutral 3 3" xfId="730" xr:uid="{00000000-0005-0000-0000-0000C2020000}"/>
    <cellStyle name="Neutral 4" xfId="731" xr:uid="{00000000-0005-0000-0000-0000C3020000}"/>
    <cellStyle name="Neutral 4 2" xfId="732" xr:uid="{00000000-0005-0000-0000-0000C4020000}"/>
    <cellStyle name="Neutral 4 3" xfId="733" xr:uid="{00000000-0005-0000-0000-0000C5020000}"/>
    <cellStyle name="Neutral 5" xfId="734" xr:uid="{00000000-0005-0000-0000-0000C6020000}"/>
    <cellStyle name="Neutral 6" xfId="735" xr:uid="{00000000-0005-0000-0000-0000C7020000}"/>
    <cellStyle name="Neutral 7" xfId="736" xr:uid="{00000000-0005-0000-0000-0000C8020000}"/>
    <cellStyle name="Neutral 8" xfId="737" xr:uid="{00000000-0005-0000-0000-0000C9020000}"/>
    <cellStyle name="Neutral 9" xfId="738" xr:uid="{00000000-0005-0000-0000-0000CA020000}"/>
    <cellStyle name="Neutru" xfId="739" xr:uid="{00000000-0005-0000-0000-0000CB020000}"/>
    <cellStyle name="Normal" xfId="0" builtinId="0"/>
    <cellStyle name="Normal - Style1" xfId="54" xr:uid="{00000000-0005-0000-0000-0000CD020000}"/>
    <cellStyle name="Normal 10" xfId="740" xr:uid="{00000000-0005-0000-0000-0000CE020000}"/>
    <cellStyle name="Normal 11" xfId="741" xr:uid="{00000000-0005-0000-0000-0000CF020000}"/>
    <cellStyle name="Normal 12" xfId="742" xr:uid="{00000000-0005-0000-0000-0000D0020000}"/>
    <cellStyle name="Normal 13" xfId="743" xr:uid="{00000000-0005-0000-0000-0000D1020000}"/>
    <cellStyle name="Normal 14" xfId="744" xr:uid="{00000000-0005-0000-0000-0000D2020000}"/>
    <cellStyle name="Normal 15" xfId="745" xr:uid="{00000000-0005-0000-0000-0000D3020000}"/>
    <cellStyle name="Normal 16" xfId="746" xr:uid="{00000000-0005-0000-0000-0000D4020000}"/>
    <cellStyle name="Normal 17" xfId="747" xr:uid="{00000000-0005-0000-0000-0000D5020000}"/>
    <cellStyle name="Normal 17 2" xfId="860" xr:uid="{00000000-0005-0000-0000-0000D6020000}"/>
    <cellStyle name="Normal 17 2 2" xfId="871" xr:uid="{00000000-0005-0000-0000-0000D7020000}"/>
    <cellStyle name="Normal 17 2 3" xfId="877" xr:uid="{00000000-0005-0000-0000-0000D8020000}"/>
    <cellStyle name="Normal 18" xfId="748" xr:uid="{00000000-0005-0000-0000-0000D9020000}"/>
    <cellStyle name="Normal 19" xfId="857" xr:uid="{00000000-0005-0000-0000-0000DA020000}"/>
    <cellStyle name="Normal 2" xfId="55" xr:uid="{00000000-0005-0000-0000-0000DB020000}"/>
    <cellStyle name="Normal 2 2" xfId="749" xr:uid="{00000000-0005-0000-0000-0000DC020000}"/>
    <cellStyle name="Normal 2 3" xfId="750" xr:uid="{00000000-0005-0000-0000-0000DD020000}"/>
    <cellStyle name="Normal 2_Estimations TUD - District 6 TRP 06.08.09" xfId="751" xr:uid="{00000000-0005-0000-0000-0000DE020000}"/>
    <cellStyle name="Normal 20" xfId="874" xr:uid="{00000000-0005-0000-0000-0000DF020000}"/>
    <cellStyle name="Normal 21" xfId="878" xr:uid="{00000000-0005-0000-0000-0000E0020000}"/>
    <cellStyle name="Normal 3" xfId="752" xr:uid="{00000000-0005-0000-0000-0000E1020000}"/>
    <cellStyle name="Normal 3 2" xfId="866" xr:uid="{00000000-0005-0000-0000-0000E2020000}"/>
    <cellStyle name="Normal 4" xfId="753" xr:uid="{00000000-0005-0000-0000-0000E3020000}"/>
    <cellStyle name="Normal 4 2" xfId="754" xr:uid="{00000000-0005-0000-0000-0000E4020000}"/>
    <cellStyle name="Normal 4 3" xfId="755" xr:uid="{00000000-0005-0000-0000-0000E5020000}"/>
    <cellStyle name="Normal 5" xfId="756" xr:uid="{00000000-0005-0000-0000-0000E6020000}"/>
    <cellStyle name="Normal 6" xfId="757" xr:uid="{00000000-0005-0000-0000-0000E7020000}"/>
    <cellStyle name="Normal 7" xfId="758" xr:uid="{00000000-0005-0000-0000-0000E8020000}"/>
    <cellStyle name="Normal 8" xfId="759" xr:uid="{00000000-0005-0000-0000-0000E9020000}"/>
    <cellStyle name="Normal 9" xfId="760" xr:uid="{00000000-0005-0000-0000-0000EA020000}"/>
    <cellStyle name="Normal_Anexa 1.3 - S1 Calcul grd.indt 22.02.2010" xfId="3" xr:uid="{00000000-0005-0000-0000-0000EB020000}"/>
    <cellStyle name="Normal_Anexa 1.3 - SG Calcul grd.indt 12.04.2010" xfId="858" xr:uid="{00000000-0005-0000-0000-0000EC020000}"/>
    <cellStyle name="Normal_Anexa 1.4 - SG Serviciul Datoriei Publice 12.04.2010" xfId="761" xr:uid="{00000000-0005-0000-0000-0000ED020000}"/>
    <cellStyle name="Normal_Evolutie V&amp;C 2003-2010_Eforie Serviciul datoriei 27.04.2011 v1" xfId="80" xr:uid="{00000000-0005-0000-0000-0000EE020000}"/>
    <cellStyle name="Normal_mach03_Eforie Serviciul datoriei 27.04.2011 v1" xfId="79" xr:uid="{00000000-0005-0000-0000-0000EF020000}"/>
    <cellStyle name="Normal_mach31" xfId="2" xr:uid="{00000000-0005-0000-0000-0000F0020000}"/>
    <cellStyle name="Normal_mach31_Piatra Neamt Serviciul datoriei TUD la 30062007 3" xfId="78" xr:uid="{00000000-0005-0000-0000-0000F1020000}"/>
    <cellStyle name="Normal_Scenarii rambursare imprumut hibrid CLCraiova 170106 3" xfId="75" xr:uid="{00000000-0005-0000-0000-0000F2020000}"/>
    <cellStyle name="Normal_Scenarii rambursare imprumut hibrid CLCraiova 170106_Raport tehnic licitatie 59.3 mil lei v1 05.10.10" xfId="77" xr:uid="{00000000-0005-0000-0000-0000F3020000}"/>
    <cellStyle name="Normale 2" xfId="762" xr:uid="{00000000-0005-0000-0000-0000F4020000}"/>
    <cellStyle name="Notă" xfId="763" xr:uid="{00000000-0005-0000-0000-0000F5020000}"/>
    <cellStyle name="Note 10" xfId="764" xr:uid="{00000000-0005-0000-0000-0000F6020000}"/>
    <cellStyle name="Note 11" xfId="765" xr:uid="{00000000-0005-0000-0000-0000F7020000}"/>
    <cellStyle name="Note 12" xfId="766" xr:uid="{00000000-0005-0000-0000-0000F8020000}"/>
    <cellStyle name="Note 2" xfId="767" xr:uid="{00000000-0005-0000-0000-0000F9020000}"/>
    <cellStyle name="Note 3" xfId="768" xr:uid="{00000000-0005-0000-0000-0000FA020000}"/>
    <cellStyle name="Note 4" xfId="769" xr:uid="{00000000-0005-0000-0000-0000FB020000}"/>
    <cellStyle name="Note 5" xfId="770" xr:uid="{00000000-0005-0000-0000-0000FC020000}"/>
    <cellStyle name="Note 6" xfId="771" xr:uid="{00000000-0005-0000-0000-0000FD020000}"/>
    <cellStyle name="Note 7" xfId="772" xr:uid="{00000000-0005-0000-0000-0000FE020000}"/>
    <cellStyle name="Note 8" xfId="773" xr:uid="{00000000-0005-0000-0000-0000FF020000}"/>
    <cellStyle name="Note 9" xfId="774" xr:uid="{00000000-0005-0000-0000-000000030000}"/>
    <cellStyle name="Output 10" xfId="775" xr:uid="{00000000-0005-0000-0000-000001030000}"/>
    <cellStyle name="Output 11" xfId="776" xr:uid="{00000000-0005-0000-0000-000002030000}"/>
    <cellStyle name="Output 12" xfId="777" xr:uid="{00000000-0005-0000-0000-000003030000}"/>
    <cellStyle name="Output 2" xfId="778" xr:uid="{00000000-0005-0000-0000-000004030000}"/>
    <cellStyle name="Output 2 2" xfId="779" xr:uid="{00000000-0005-0000-0000-000005030000}"/>
    <cellStyle name="Output 2 3" xfId="780" xr:uid="{00000000-0005-0000-0000-000006030000}"/>
    <cellStyle name="Output 3" xfId="781" xr:uid="{00000000-0005-0000-0000-000007030000}"/>
    <cellStyle name="Output 3 2" xfId="782" xr:uid="{00000000-0005-0000-0000-000008030000}"/>
    <cellStyle name="Output 3 3" xfId="783" xr:uid="{00000000-0005-0000-0000-000009030000}"/>
    <cellStyle name="Output 4" xfId="784" xr:uid="{00000000-0005-0000-0000-00000A030000}"/>
    <cellStyle name="Output 4 2" xfId="785" xr:uid="{00000000-0005-0000-0000-00000B030000}"/>
    <cellStyle name="Output 4 3" xfId="786" xr:uid="{00000000-0005-0000-0000-00000C030000}"/>
    <cellStyle name="Output 5" xfId="787" xr:uid="{00000000-0005-0000-0000-00000D030000}"/>
    <cellStyle name="Output 6" xfId="788" xr:uid="{00000000-0005-0000-0000-00000E030000}"/>
    <cellStyle name="Output 7" xfId="789" xr:uid="{00000000-0005-0000-0000-00000F030000}"/>
    <cellStyle name="Output 8" xfId="790" xr:uid="{00000000-0005-0000-0000-000010030000}"/>
    <cellStyle name="Output 9" xfId="791" xr:uid="{00000000-0005-0000-0000-000011030000}"/>
    <cellStyle name="Percent" xfId="876" builtinId="5"/>
    <cellStyle name="Percent [1]" xfId="56" xr:uid="{00000000-0005-0000-0000-000013030000}"/>
    <cellStyle name="Percent [2]" xfId="57" xr:uid="{00000000-0005-0000-0000-000014030000}"/>
    <cellStyle name="Percent [3]" xfId="58" xr:uid="{00000000-0005-0000-0000-000015030000}"/>
    <cellStyle name="Percent 2" xfId="59" xr:uid="{00000000-0005-0000-0000-000016030000}"/>
    <cellStyle name="Percent 2 2" xfId="792" xr:uid="{00000000-0005-0000-0000-000017030000}"/>
    <cellStyle name="Percent 2 3" xfId="867" xr:uid="{00000000-0005-0000-0000-000018030000}"/>
    <cellStyle name="Percent 3" xfId="793" xr:uid="{00000000-0005-0000-0000-000019030000}"/>
    <cellStyle name="Percent 3 2" xfId="794" xr:uid="{00000000-0005-0000-0000-00001A030000}"/>
    <cellStyle name="Percent 3 2 2" xfId="868" xr:uid="{00000000-0005-0000-0000-00001B030000}"/>
    <cellStyle name="Percent 4" xfId="795" xr:uid="{00000000-0005-0000-0000-00001C030000}"/>
    <cellStyle name="Percent 4 2" xfId="869" xr:uid="{00000000-0005-0000-0000-00001D030000}"/>
    <cellStyle name="Percent 5" xfId="796" xr:uid="{00000000-0005-0000-0000-00001E030000}"/>
    <cellStyle name="Percent 6" xfId="870" xr:uid="{00000000-0005-0000-0000-00001F030000}"/>
    <cellStyle name="Percent 6 2" xfId="862" xr:uid="{00000000-0005-0000-0000-000020030000}"/>
    <cellStyle name="Percent 6 2 2" xfId="873" xr:uid="{00000000-0005-0000-0000-000021030000}"/>
    <cellStyle name="Percent_Anexa 1.3 - S1 Calcul grd.indt 22.02.2010" xfId="4" xr:uid="{00000000-0005-0000-0000-000022030000}"/>
    <cellStyle name="Percent_Anexa 1.3 - SG Calcul grd.indt 12.04.2010" xfId="859" xr:uid="{00000000-0005-0000-0000-000023030000}"/>
    <cellStyle name="Text [Bullet]" xfId="60" xr:uid="{00000000-0005-0000-0000-000024030000}"/>
    <cellStyle name="Text [Dash]" xfId="61" xr:uid="{00000000-0005-0000-0000-000025030000}"/>
    <cellStyle name="Text [Em-Dash]" xfId="62" xr:uid="{00000000-0005-0000-0000-000026030000}"/>
    <cellStyle name="Text avertisment" xfId="797" xr:uid="{00000000-0005-0000-0000-000027030000}"/>
    <cellStyle name="Text explicativ" xfId="798" xr:uid="{00000000-0005-0000-0000-000028030000}"/>
    <cellStyle name="Times" xfId="63" xr:uid="{00000000-0005-0000-0000-000029030000}"/>
    <cellStyle name="Times [1]" xfId="64" xr:uid="{00000000-0005-0000-0000-00002A030000}"/>
    <cellStyle name="Times [2]" xfId="65" xr:uid="{00000000-0005-0000-0000-00002B030000}"/>
    <cellStyle name="Times_Evolutie 2003-2007 pt raport 2006" xfId="66" xr:uid="{00000000-0005-0000-0000-00002C030000}"/>
    <cellStyle name="Title 10" xfId="799" xr:uid="{00000000-0005-0000-0000-00002D030000}"/>
    <cellStyle name="Title 11" xfId="800" xr:uid="{00000000-0005-0000-0000-00002E030000}"/>
    <cellStyle name="Title 12" xfId="801" xr:uid="{00000000-0005-0000-0000-00002F030000}"/>
    <cellStyle name="Title 2" xfId="802" xr:uid="{00000000-0005-0000-0000-000030030000}"/>
    <cellStyle name="Title 2 2" xfId="803" xr:uid="{00000000-0005-0000-0000-000031030000}"/>
    <cellStyle name="Title 2 3" xfId="804" xr:uid="{00000000-0005-0000-0000-000032030000}"/>
    <cellStyle name="Title 3" xfId="805" xr:uid="{00000000-0005-0000-0000-000033030000}"/>
    <cellStyle name="Title 3 2" xfId="806" xr:uid="{00000000-0005-0000-0000-000034030000}"/>
    <cellStyle name="Title 3 3" xfId="807" xr:uid="{00000000-0005-0000-0000-000035030000}"/>
    <cellStyle name="Title 4" xfId="808" xr:uid="{00000000-0005-0000-0000-000036030000}"/>
    <cellStyle name="Title 4 2" xfId="809" xr:uid="{00000000-0005-0000-0000-000037030000}"/>
    <cellStyle name="Title 4 3" xfId="810" xr:uid="{00000000-0005-0000-0000-000038030000}"/>
    <cellStyle name="Title 5" xfId="811" xr:uid="{00000000-0005-0000-0000-000039030000}"/>
    <cellStyle name="Title 6" xfId="812" xr:uid="{00000000-0005-0000-0000-00003A030000}"/>
    <cellStyle name="Title 7" xfId="813" xr:uid="{00000000-0005-0000-0000-00003B030000}"/>
    <cellStyle name="Title 8" xfId="814" xr:uid="{00000000-0005-0000-0000-00003C030000}"/>
    <cellStyle name="Title 9" xfId="815" xr:uid="{00000000-0005-0000-0000-00003D030000}"/>
    <cellStyle name="Titlu" xfId="816" xr:uid="{00000000-0005-0000-0000-00003E030000}"/>
    <cellStyle name="Titlu 1" xfId="817" xr:uid="{00000000-0005-0000-0000-00003F030000}"/>
    <cellStyle name="Titlu 2" xfId="818" xr:uid="{00000000-0005-0000-0000-000040030000}"/>
    <cellStyle name="Titlu 3" xfId="819" xr:uid="{00000000-0005-0000-0000-000041030000}"/>
    <cellStyle name="Titlu 4" xfId="820" xr:uid="{00000000-0005-0000-0000-000042030000}"/>
    <cellStyle name="Total 10" xfId="821" xr:uid="{00000000-0005-0000-0000-000043030000}"/>
    <cellStyle name="Total 11" xfId="822" xr:uid="{00000000-0005-0000-0000-000044030000}"/>
    <cellStyle name="Total 12" xfId="823" xr:uid="{00000000-0005-0000-0000-000045030000}"/>
    <cellStyle name="Total 2" xfId="824" xr:uid="{00000000-0005-0000-0000-000046030000}"/>
    <cellStyle name="Total 2 2" xfId="825" xr:uid="{00000000-0005-0000-0000-000047030000}"/>
    <cellStyle name="Total 2 3" xfId="826" xr:uid="{00000000-0005-0000-0000-000048030000}"/>
    <cellStyle name="Total 3" xfId="827" xr:uid="{00000000-0005-0000-0000-000049030000}"/>
    <cellStyle name="Total 3 2" xfId="828" xr:uid="{00000000-0005-0000-0000-00004A030000}"/>
    <cellStyle name="Total 3 3" xfId="829" xr:uid="{00000000-0005-0000-0000-00004B030000}"/>
    <cellStyle name="Total 4" xfId="830" xr:uid="{00000000-0005-0000-0000-00004C030000}"/>
    <cellStyle name="Total 4 2" xfId="831" xr:uid="{00000000-0005-0000-0000-00004D030000}"/>
    <cellStyle name="Total 4 3" xfId="832" xr:uid="{00000000-0005-0000-0000-00004E030000}"/>
    <cellStyle name="Total 5" xfId="833" xr:uid="{00000000-0005-0000-0000-00004F030000}"/>
    <cellStyle name="Total 6" xfId="834" xr:uid="{00000000-0005-0000-0000-000050030000}"/>
    <cellStyle name="Total 7" xfId="835" xr:uid="{00000000-0005-0000-0000-000051030000}"/>
    <cellStyle name="Total 8" xfId="836" xr:uid="{00000000-0005-0000-0000-000052030000}"/>
    <cellStyle name="Total 9" xfId="837" xr:uid="{00000000-0005-0000-0000-000053030000}"/>
    <cellStyle name="Valuta 2" xfId="838" xr:uid="{00000000-0005-0000-0000-000054030000}"/>
    <cellStyle name="Verificare celulă" xfId="839" xr:uid="{00000000-0005-0000-0000-000055030000}"/>
    <cellStyle name="Virgulă_BUGET 2004 PE TRIMESTRE" xfId="67" xr:uid="{00000000-0005-0000-0000-000056030000}"/>
    <cellStyle name="Warning Text 10" xfId="840" xr:uid="{00000000-0005-0000-0000-000057030000}"/>
    <cellStyle name="Warning Text 11" xfId="841" xr:uid="{00000000-0005-0000-0000-000058030000}"/>
    <cellStyle name="Warning Text 12" xfId="842" xr:uid="{00000000-0005-0000-0000-000059030000}"/>
    <cellStyle name="Warning Text 2" xfId="843" xr:uid="{00000000-0005-0000-0000-00005A030000}"/>
    <cellStyle name="Warning Text 2 2" xfId="844" xr:uid="{00000000-0005-0000-0000-00005B030000}"/>
    <cellStyle name="Warning Text 2 3" xfId="845" xr:uid="{00000000-0005-0000-0000-00005C030000}"/>
    <cellStyle name="Warning Text 3" xfId="846" xr:uid="{00000000-0005-0000-0000-00005D030000}"/>
    <cellStyle name="Warning Text 3 2" xfId="847" xr:uid="{00000000-0005-0000-0000-00005E030000}"/>
    <cellStyle name="Warning Text 3 3" xfId="848" xr:uid="{00000000-0005-0000-0000-00005F030000}"/>
    <cellStyle name="Warning Text 4" xfId="849" xr:uid="{00000000-0005-0000-0000-000060030000}"/>
    <cellStyle name="Warning Text 4 2" xfId="850" xr:uid="{00000000-0005-0000-0000-000061030000}"/>
    <cellStyle name="Warning Text 4 3" xfId="851" xr:uid="{00000000-0005-0000-0000-000062030000}"/>
    <cellStyle name="Warning Text 5" xfId="852" xr:uid="{00000000-0005-0000-0000-000063030000}"/>
    <cellStyle name="Warning Text 6" xfId="853" xr:uid="{00000000-0005-0000-0000-000064030000}"/>
    <cellStyle name="Warning Text 7" xfId="854" xr:uid="{00000000-0005-0000-0000-000065030000}"/>
    <cellStyle name="Warning Text 8" xfId="855" xr:uid="{00000000-0005-0000-0000-000066030000}"/>
    <cellStyle name="Warning Text 9" xfId="856" xr:uid="{00000000-0005-0000-0000-000067030000}"/>
    <cellStyle name="ハイパーリンク" xfId="68" xr:uid="{00000000-0005-0000-0000-000068030000}"/>
    <cellStyle name="표준_Korean Portfolio II" xfId="69" xr:uid="{00000000-0005-0000-0000-000069030000}"/>
    <cellStyle name="桁?切り_SB" xfId="70" xr:uid="{00000000-0005-0000-0000-00006A030000}"/>
    <cellStyle name="桁区切り_SB" xfId="71" xr:uid="{00000000-0005-0000-0000-00006B030000}"/>
    <cellStyle name="標準_A" xfId="72" xr:uid="{00000000-0005-0000-0000-00006C030000}"/>
    <cellStyle name="表旨巧・・ハイパーリンク" xfId="73" xr:uid="{00000000-0005-0000-0000-00006D030000}"/>
    <cellStyle name="表示済みのハイパーリンク" xfId="74" xr:uid="{00000000-0005-0000-0000-00006E03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21" Type="http://schemas.openxmlformats.org/officeDocument/2006/relationships/externalLink" Target="externalLinks/externalLink4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externalLink" Target="externalLinks/externalLink15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65507436570428"/>
          <c:y val="7.4548702245552642E-2"/>
          <c:w val="0.85314669977798308"/>
          <c:h val="0.79822506561679785"/>
        </c:manualLayout>
      </c:layout>
      <c:lineChart>
        <c:grouping val="stacked"/>
        <c:varyColors val="0"/>
        <c:ser>
          <c:idx val="0"/>
          <c:order val="0"/>
          <c:spPr>
            <a:ln>
              <a:gradFill>
                <a:gsLst>
                  <a:gs pos="0">
                    <a:srgbClr val="C00000"/>
                  </a:gs>
                  <a:gs pos="13000">
                    <a:srgbClr val="0047FF"/>
                  </a:gs>
                  <a:gs pos="28000">
                    <a:srgbClr val="000082"/>
                  </a:gs>
                  <a:gs pos="42999">
                    <a:srgbClr val="0047FF"/>
                  </a:gs>
                  <a:gs pos="58000">
                    <a:srgbClr val="000082"/>
                  </a:gs>
                  <a:gs pos="72000">
                    <a:srgbClr val="0047FF"/>
                  </a:gs>
                  <a:gs pos="87000">
                    <a:srgbClr val="000082"/>
                  </a:gs>
                  <a:gs pos="100000">
                    <a:srgbClr val="0047FF"/>
                  </a:gs>
                </a:gsLst>
                <a:lin ang="5400000" scaled="0"/>
              </a:gradFill>
            </a:ln>
          </c:spPr>
          <c:marker>
            <c:symbol val="none"/>
          </c:marker>
          <c:cat>
            <c:numRef>
              <c:f>'SD sinaia'!$E$5:$R$5</c:f>
              <c:numCache>
                <c:formatCode>General;[Red]\-General</c:formatCode>
                <c:ptCount val="13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</c:numCache>
            </c:numRef>
          </c:cat>
          <c:val>
            <c:numRef>
              <c:f>'SD sinaia'!$E$45:$R$45</c:f>
              <c:numCache>
                <c:formatCode>0.00%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0.24031886105699113</c:v>
                </c:pt>
                <c:pt idx="3">
                  <c:v>0</c:v>
                </c:pt>
                <c:pt idx="4">
                  <c:v>0</c:v>
                </c:pt>
                <c:pt idx="5">
                  <c:v>0.22353473062382703</c:v>
                </c:pt>
                <c:pt idx="6">
                  <c:v>0.20608123029091047</c:v>
                </c:pt>
                <c:pt idx="7">
                  <c:v>0.19025293168976223</c:v>
                </c:pt>
                <c:pt idx="8">
                  <c:v>0.16935701481495927</c:v>
                </c:pt>
                <c:pt idx="9">
                  <c:v>0.12520522789151362</c:v>
                </c:pt>
                <c:pt idx="10">
                  <c:v>8.7782773220528729E-2</c:v>
                </c:pt>
                <c:pt idx="11">
                  <c:v>5.9560966696187524E-2</c:v>
                </c:pt>
                <c:pt idx="12">
                  <c:v>4.449558998745138E-2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EC-4E78-9258-2942929AE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996224"/>
        <c:axId val="206997760"/>
      </c:lineChart>
      <c:catAx>
        <c:axId val="206996224"/>
        <c:scaling>
          <c:orientation val="minMax"/>
        </c:scaling>
        <c:delete val="0"/>
        <c:axPos val="b"/>
        <c:numFmt formatCode="General;[Red]\-General" sourceLinked="1"/>
        <c:majorTickMark val="out"/>
        <c:minorTickMark val="none"/>
        <c:tickLblPos val="nextTo"/>
        <c:crossAx val="206997760"/>
        <c:crosses val="autoZero"/>
        <c:auto val="1"/>
        <c:lblAlgn val="ctr"/>
        <c:lblOffset val="100"/>
        <c:noMultiLvlLbl val="0"/>
      </c:catAx>
      <c:valAx>
        <c:axId val="206997760"/>
        <c:scaling>
          <c:orientation val="minMax"/>
          <c:max val="0.30000000000000032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699622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</xdr:colOff>
      <xdr:row>0</xdr:row>
      <xdr:rowOff>78441</xdr:rowOff>
    </xdr:from>
    <xdr:to>
      <xdr:col>1</xdr:col>
      <xdr:colOff>1792941</xdr:colOff>
      <xdr:row>2</xdr:row>
      <xdr:rowOff>2</xdr:rowOff>
    </xdr:to>
    <xdr:pic>
      <xdr:nvPicPr>
        <xdr:cNvPr id="2" name="Picture 38" descr="logo_word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412" y="78441"/>
          <a:ext cx="2237254" cy="559736"/>
        </a:xfrm>
        <a:prstGeom prst="rect">
          <a:avLst/>
        </a:prstGeom>
        <a:solidFill>
          <a:schemeClr val="bg1">
            <a:lumMod val="85000"/>
          </a:schemeClr>
        </a:solidFill>
        <a:ln w="38100" cap="sq">
          <a:noFill/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1405890</xdr:colOff>
      <xdr:row>8</xdr:row>
      <xdr:rowOff>92448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41" y="156882"/>
          <a:ext cx="1405890" cy="1190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47</xdr:row>
      <xdr:rowOff>152399</xdr:rowOff>
    </xdr:from>
    <xdr:to>
      <xdr:col>17</xdr:col>
      <xdr:colOff>285750</xdr:colOff>
      <xdr:row>71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odeling\Bacau-primaria\Bacau%20finalizate\Prezentari%20municipalitati\desktop%20vechi\municipalitati\Tg.Mures\Credit%20analysis%20model%20TgMures%203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ADU/RADU%20SERV/primarii/sinaia/CREDIT%202024/calul%20grad%20de%20indatorare%202023/Grafic%20Sinai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k%20birnbaum/Desktop/BaiaMareenglexe/Romanian%20Financial%20Analysis%20Mode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Swaps%20Marketing/Ted%20Mermel/MTM%20stuff/MSREF/F4%20MSREF%20JPY%201_31_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DOCUME~1/munday/LOCALS~1/Temp/final%2012-31-02%20fund%20iv%20internation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TEMP/TEMP/TEMP/Asset%20Tracking%20Europ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bookworld\analist\Piatra%20Neamt\Piatra%20Neamt%20T4%202007\Piatra%20Neamt%20-%20T4%20ChEx%2020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radu%2020.06.2013/primarii/EFORIE/MIN%20FINANTE/AUTORIZARE%20IANUARIE%202013/Anexa%201.3%20si%201.4%20cu%205.8%20mio%20eu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bookworld\publicfull\modeling\Bacau-primaria\Bacau%20finalizate\Prezentari%20municipalitati\desktop%20vechi\municipalitati\Tg.Mures\Credit%20analysis%20model%20TgMures%203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Swaps%20Marketing/Ted%20Mermel/MTM%20stuff/MSREF/F4%20MSREF%20KRW%201_31_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odeling\Piatr%20Neamt%20City\Piatra%20Neamt%20modelare%20finalizata\Piatra%20Neamt%20rapoarte%20finalizate%20FINAL\PiatraNeamt%20-%202006%20raport%20R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hai%20Tudorancea/AppData/Local/Microsoft/Windows/Temporary%20Internet%20Files/OLK7CD/Piatra%20Neamt%20modelare%20finalizata/Piatra%20Neamt%20rapoarte%20finalizate%20FINAL/PiatraNeamt%20-%202006%20raport%20R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a/InvestitiiPS1/2009/R6_18august/Diana/InvestitiiPS1/2005/Rectificare_09dec05/BugetLocal_R9_22dec05/2002/Rectificare5_decVirare2/Autofinantare_nov/A_ANEXA3_nov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banking/Tadavarthy/New/Domestic_New/Inputs(Intl&amp;Dom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ADU%2010.03.2019/radu%2025.04.206/primarii/sinaia/CREDIT%20NOU%202019/PROCEDURA%20LICITATIE/Grafic%20Sinai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ADU%2015.06.2018/radu%2025.04.206/primarii/sinaia/CREDIT%202017/CONTRACTARE%20IMPRUMUT/Grafic%20Sina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ule 6_Condensed Budget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RP"/>
      <sheetName val="SME"/>
      <sheetName val="Insurance"/>
      <sheetName val="SOV"/>
      <sheetName val="FI"/>
      <sheetName val="LRG"/>
      <sheetName val="none"/>
      <sheetName val="Params"/>
      <sheetName val="Basel II Eligible Collateral"/>
      <sheetName val="calculation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B3">
            <v>2.5</v>
          </cell>
        </row>
      </sheetData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 1"/>
      <sheetName val="Sheet 2"/>
      <sheetName val="Sheet 3"/>
      <sheetName val="Sheet 4"/>
      <sheetName val="Sheet 5"/>
      <sheetName val="Date"/>
      <sheetName val="&quot;Cash Flow&quot;"/>
      <sheetName val="Bilant"/>
      <sheetName val="PIC"/>
      <sheetName val="Previziuni"/>
      <sheetName val="Ipoteze"/>
      <sheetName val="Tendinte"/>
      <sheetName val="Definitii"/>
      <sheetName val="_Cash Flow_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C3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rtfolio"/>
      <sheetName val="MTM"/>
      <sheetName val="Vol Sheet"/>
      <sheetName val="Spot Chart"/>
      <sheetName val="Chart1"/>
      <sheetName val="Time Chart"/>
      <sheetName val="Chart2"/>
      <sheetName val="Spot Vol Chart"/>
      <sheetName val="Chart3"/>
      <sheetName val="RR Chart"/>
      <sheetName val="Flexi Chart"/>
      <sheetName val="VegaBucket Chart"/>
      <sheetName val="Spot &amp; Constants"/>
      <sheetName val="Dialog1"/>
      <sheetName val="Dialog2"/>
      <sheetName val="WizSheet"/>
      <sheetName val="OptWiz1"/>
      <sheetName val="OW1Mod"/>
      <sheetName val="OptWiz2"/>
      <sheetName val="OW2Mod"/>
      <sheetName val="OptWiz3"/>
      <sheetName val="OW3Mod"/>
      <sheetName val="OptWiz4"/>
      <sheetName val="OW4Mod"/>
      <sheetName val="Solve"/>
      <sheetName val="Trader Vols"/>
      <sheetName val="MainScript"/>
      <sheetName val="VolModule"/>
      <sheetName val="DlgScript"/>
      <sheetName val="VegaMatch"/>
      <sheetName val="Module1"/>
      <sheetName val="Module2"/>
      <sheetName val="LogContract"/>
    </sheetNames>
    <sheetDataSet>
      <sheetData sheetId="0" refreshError="1">
        <row r="15">
          <cell r="F15">
            <v>133.78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und IV Summary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LLUP _ Fund II"/>
      <sheetName val="Instructions"/>
      <sheetName val="KEY"/>
      <sheetName val="Summary - By Fund"/>
      <sheetName val="Summary - By Type"/>
      <sheetName val="Summary - By Country"/>
      <sheetName val="ROLLUP - Fund I"/>
      <sheetName val="ROLLUP - Fund II"/>
      <sheetName val="ROLLUP-Fund III"/>
      <sheetName val="ROLLUP - Fund IV"/>
      <sheetName val="Chart III"/>
      <sheetName val="Appold"/>
      <sheetName val="CV Solaia"/>
      <sheetName val="CV Cometa"/>
      <sheetName val="Carosib"/>
      <sheetName val="CV Iron-Fonspa"/>
      <sheetName val="Barbaresco"/>
      <sheetName val="MSC Hold "/>
      <sheetName val="ImmoUno"/>
      <sheetName val="Immobil Due"/>
      <sheetName val="MSMC Tre"/>
      <sheetName val="Parnasi"/>
      <sheetName val="RCS"/>
      <sheetName val="Birmann"/>
      <sheetName val="Ausone"/>
      <sheetName val="St Denis"/>
      <sheetName val="Vincennes#2"/>
      <sheetName val="Petrus"/>
      <sheetName val="MSCG"/>
      <sheetName val="Bercy Expo"/>
      <sheetName val="Wellington"/>
      <sheetName val="Punch Taverns"/>
      <sheetName val="ImmoScout"/>
      <sheetName val="MetroNexus"/>
      <sheetName val="Recoletos"/>
      <sheetName val="Ortega"/>
      <sheetName val="Fleming"/>
      <sheetName val="GEMS"/>
      <sheetName val="Semapa"/>
      <sheetName val="Domovial"/>
      <sheetName val="Montparnasse"/>
      <sheetName val="Alban Gate UK"/>
      <sheetName val="India Docks UK"/>
      <sheetName val="Capitole"/>
      <sheetName val="Wigmore"/>
      <sheetName val="Chart -Acqu-dispo Europe"/>
      <sheetName val="Millennium"/>
      <sheetName val="Margaux"/>
      <sheetName val="Berkeley"/>
      <sheetName val="Corton"/>
      <sheetName val="MSMC-Luce"/>
      <sheetName val="Banca di Roma"/>
      <sheetName val="RAS Portfolio"/>
      <sheetName val="Do Not Print ROLLUP  Fund I LC"/>
      <sheetName val="Do Not Print ROLLUP  Fund II LC"/>
      <sheetName val="Do Not Print ROLLUP Fund III LC"/>
      <sheetName val="Do Not Print ROLLUP  Fund IV 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xRz T4 2007"/>
      <sheetName val="Indicatori-Ratio"/>
      <sheetName val="ChExFct_2007_T4"/>
      <sheetName val="ChExEc_2007_T4"/>
      <sheetName val="ChExFct_in_T4% "/>
      <sheetName val="Alte_ChExFct_inT4%"/>
      <sheetName val="ChExFct_la_T4%"/>
      <sheetName val="Alte_ChExFct_laT4% "/>
      <sheetName val="ChExEc_in_T4%"/>
      <sheetName val="Alte_ChExEc_in_T4% "/>
      <sheetName val="ChExEc_la_T4%"/>
      <sheetName val="Alte_ChExEc_la_T4%"/>
      <sheetName val="51.02"/>
      <sheetName val="54.02"/>
      <sheetName val="55.02"/>
      <sheetName val="56.02"/>
      <sheetName val="57.02"/>
      <sheetName val="60.02"/>
      <sheetName val="61.02"/>
      <sheetName val="65.02"/>
      <sheetName val="66.02"/>
      <sheetName val="67.02"/>
      <sheetName val="68.02"/>
      <sheetName val="70.02"/>
      <sheetName val="74.02"/>
      <sheetName val="80.02"/>
      <sheetName val="81.02"/>
      <sheetName val="83.02"/>
      <sheetName val="84.02"/>
      <sheetName val="87.02"/>
    </sheetNames>
    <sheetDataSet>
      <sheetData sheetId="0">
        <row r="29">
          <cell r="Q29">
            <v>12721.442999999999</v>
          </cell>
        </row>
        <row r="30">
          <cell r="Q30">
            <v>0</v>
          </cell>
        </row>
      </sheetData>
      <sheetData sheetId="1"/>
      <sheetData sheetId="2"/>
      <sheetData sheetId="3">
        <row r="84">
          <cell r="Q84">
            <v>249.905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edit bancpost 1.8 mio eur"/>
      <sheetName val="emis obligatiuni 6  mio ron"/>
      <sheetName val="credit reesalonare-5.8 mio eur"/>
      <sheetName val="grad indatorare"/>
      <sheetName val="centralizare credite"/>
      <sheetName val="1.3"/>
      <sheetName val="1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E3">
            <v>2012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10">
          <cell r="E10">
            <v>745.27433217599992</v>
          </cell>
        </row>
        <row r="11">
          <cell r="E11">
            <v>339.24244272808545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ule 6_Condensed Budge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rtfolio"/>
      <sheetName val="Sheet1"/>
      <sheetName val="Vol Sheet"/>
      <sheetName val="Spot Chart"/>
      <sheetName val="Chart1"/>
      <sheetName val="Time Chart"/>
      <sheetName val="Chart2"/>
      <sheetName val="Spot Vol Chart"/>
      <sheetName val="Chart3"/>
      <sheetName val="RR Chart"/>
      <sheetName val="Flexi Chart"/>
      <sheetName val="VegaBucket Chart"/>
      <sheetName val="Spot &amp; Constants"/>
      <sheetName val="Dialog1"/>
      <sheetName val="Dialog2"/>
      <sheetName val="WizSheet"/>
      <sheetName val="OptWiz1"/>
      <sheetName val="OW1Mod"/>
      <sheetName val="OptWiz2"/>
      <sheetName val="OW2Mod"/>
      <sheetName val="OptWiz3"/>
      <sheetName val="OW3Mod"/>
      <sheetName val="OptWiz4"/>
      <sheetName val="OW4Mod"/>
      <sheetName val="Solve"/>
      <sheetName val="Trader Vols"/>
      <sheetName val="MainScript"/>
      <sheetName val="VolModule"/>
      <sheetName val="DlgScript"/>
      <sheetName val="VegaMatch"/>
      <sheetName val="Module1"/>
      <sheetName val="Module2"/>
      <sheetName val="LogContract"/>
    </sheetNames>
    <sheetDataSet>
      <sheetData sheetId="0">
        <row r="15">
          <cell r="F15">
            <v>1314.4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Cuprins"/>
      <sheetName val="Consiliul Local"/>
      <sheetName val="Economico-Administrativ"/>
      <sheetName val="Rezumat"/>
      <sheetName val="Graph V_C"/>
      <sheetName val="Evolutie venituri"/>
      <sheetName val="Venituri detalii"/>
      <sheetName val="Evolutie cheltuieli"/>
      <sheetName val="Cheltuieli detalii"/>
      <sheetName val="Balanta V_C"/>
      <sheetName val="Ratio"/>
      <sheetName val="Serviciul Datoriei"/>
      <sheetName val="Glosar de termeni"/>
      <sheetName val="Disclaimer"/>
      <sheetName val="Evolutie V_C 2003_20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Cuprins"/>
      <sheetName val="Consiliul Local"/>
      <sheetName val="Economico-Administrativ"/>
      <sheetName val="Graph V_C"/>
      <sheetName val="Evolutie venituri"/>
      <sheetName val="Venituri detalii"/>
      <sheetName val="Evolutie cheltuieli"/>
      <sheetName val="Cheltuieli detalii"/>
      <sheetName val="Balanta V_C"/>
      <sheetName val="Ratio"/>
      <sheetName val="Serviciul Datoriei"/>
      <sheetName val="Glosar de termeni"/>
      <sheetName val="Disclaimer"/>
      <sheetName val="Evolutie V_C 2003_2007 "/>
      <sheetName val="Rezu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_AUTO"/>
      <sheetName val="ps1"/>
      <sheetName val="adp"/>
      <sheetName val="ExtraScoli"/>
      <sheetName val="invatamant"/>
    </sheetNames>
    <sheetDataSet>
      <sheetData sheetId="0" refreshError="1"/>
      <sheetData sheetId="1" refreshError="1"/>
      <sheetData sheetId="2" refreshError="1"/>
      <sheetData sheetId="3">
        <row r="150">
          <cell r="B150" t="str">
            <v>NUCLEUL "SFANTUL SAVA"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Print Macros"/>
    </sheetNames>
    <sheetDataSet>
      <sheetData sheetId="0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RP"/>
      <sheetName val="SME"/>
      <sheetName val="Insurance"/>
      <sheetName val="SOV"/>
      <sheetName val="FI"/>
      <sheetName val="LRG"/>
      <sheetName val="none"/>
      <sheetName val="Params"/>
      <sheetName val="Basel II Eligible Collateral"/>
      <sheetName val="calculation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B3">
            <v>2.5</v>
          </cell>
        </row>
      </sheetData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RP"/>
      <sheetName val="SME"/>
      <sheetName val="Insurance"/>
      <sheetName val="SOV"/>
      <sheetName val="FI"/>
      <sheetName val="LRG"/>
      <sheetName val="none"/>
      <sheetName val="Params"/>
      <sheetName val="Basel II Eligible Collateral"/>
      <sheetName val="calculation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B3">
            <v>2.5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workbookViewId="0">
      <selection activeCell="B3" sqref="B3"/>
    </sheetView>
  </sheetViews>
  <sheetFormatPr defaultRowHeight="13.2"/>
  <cols>
    <col min="1" max="1" width="13.33203125" customWidth="1"/>
    <col min="2" max="2" width="16.6640625" bestFit="1" customWidth="1"/>
    <col min="4" max="4" width="13.33203125" customWidth="1"/>
    <col min="5" max="5" width="15" customWidth="1"/>
    <col min="6" max="6" width="16.6640625" bestFit="1" customWidth="1"/>
    <col min="8" max="8" width="10.33203125" bestFit="1" customWidth="1"/>
    <col min="10" max="10" width="16.6640625" bestFit="1" customWidth="1"/>
  </cols>
  <sheetData>
    <row r="1" spans="1:10" ht="13.8" thickBot="1"/>
    <row r="2" spans="1:10">
      <c r="A2" s="235"/>
      <c r="B2" s="236" t="s">
        <v>113</v>
      </c>
      <c r="C2" s="236" t="s">
        <v>123</v>
      </c>
      <c r="D2" s="236" t="s">
        <v>114</v>
      </c>
      <c r="E2" s="236" t="s">
        <v>115</v>
      </c>
      <c r="F2" s="236" t="s">
        <v>116</v>
      </c>
      <c r="G2" s="236" t="s">
        <v>117</v>
      </c>
      <c r="H2" s="236" t="s">
        <v>118</v>
      </c>
      <c r="I2" s="236" t="s">
        <v>119</v>
      </c>
      <c r="J2" s="237" t="s">
        <v>120</v>
      </c>
    </row>
    <row r="3" spans="1:10" ht="26.4">
      <c r="A3" s="238" t="s">
        <v>112</v>
      </c>
      <c r="B3" s="232">
        <v>81450000</v>
      </c>
      <c r="C3" s="233" t="s">
        <v>97</v>
      </c>
      <c r="D3" s="234">
        <v>39400</v>
      </c>
      <c r="E3" s="247" t="s">
        <v>127</v>
      </c>
      <c r="F3" s="232">
        <v>2863117</v>
      </c>
      <c r="G3" s="233">
        <v>0</v>
      </c>
      <c r="H3" s="234">
        <v>44894</v>
      </c>
      <c r="I3" s="231" t="s">
        <v>128</v>
      </c>
      <c r="J3" s="239">
        <f>B3</f>
        <v>81450000</v>
      </c>
    </row>
    <row r="4" spans="1:10" ht="26.4">
      <c r="A4" s="240" t="s">
        <v>121</v>
      </c>
      <c r="B4" s="232">
        <v>553968</v>
      </c>
      <c r="C4" s="233" t="s">
        <v>125</v>
      </c>
      <c r="D4" s="234">
        <v>38895</v>
      </c>
      <c r="E4" s="247" t="s">
        <v>127</v>
      </c>
      <c r="F4" s="232">
        <v>393608</v>
      </c>
      <c r="G4" s="233">
        <v>0</v>
      </c>
      <c r="H4" s="234">
        <v>47943</v>
      </c>
      <c r="I4" s="231" t="s">
        <v>128</v>
      </c>
      <c r="J4" s="239">
        <f>B4</f>
        <v>553968</v>
      </c>
    </row>
    <row r="5" spans="1:10" ht="26.4">
      <c r="A5" s="240" t="s">
        <v>122</v>
      </c>
      <c r="B5" s="232">
        <v>3000000</v>
      </c>
      <c r="C5" s="233" t="s">
        <v>126</v>
      </c>
      <c r="D5" s="234">
        <v>40696</v>
      </c>
      <c r="E5" s="247" t="s">
        <v>127</v>
      </c>
      <c r="F5" s="232">
        <v>853310.92</v>
      </c>
      <c r="G5" s="233">
        <v>0</v>
      </c>
      <c r="H5" s="234">
        <v>46496</v>
      </c>
      <c r="I5" s="231" t="s">
        <v>128</v>
      </c>
      <c r="J5" s="239">
        <f>B5</f>
        <v>3000000</v>
      </c>
    </row>
    <row r="6" spans="1:10" ht="27" thickBot="1">
      <c r="A6" s="241" t="s">
        <v>124</v>
      </c>
      <c r="B6" s="242">
        <v>16000000</v>
      </c>
      <c r="C6" s="243" t="s">
        <v>97</v>
      </c>
      <c r="D6" s="244">
        <v>41439</v>
      </c>
      <c r="E6" s="248" t="s">
        <v>127</v>
      </c>
      <c r="F6" s="242">
        <v>11636363</v>
      </c>
      <c r="G6" s="243">
        <v>0</v>
      </c>
      <c r="H6" s="244">
        <v>45046</v>
      </c>
      <c r="I6" s="245" t="s">
        <v>128</v>
      </c>
      <c r="J6" s="246">
        <f>B6</f>
        <v>16000000</v>
      </c>
    </row>
    <row r="7" spans="1:10">
      <c r="D7" s="230"/>
    </row>
    <row r="8" spans="1:10">
      <c r="D8" s="230"/>
    </row>
    <row r="9" spans="1:10">
      <c r="D9" s="230"/>
    </row>
    <row r="10" spans="1:10">
      <c r="D10" s="230"/>
    </row>
    <row r="11" spans="1:10">
      <c r="D11" s="230"/>
    </row>
    <row r="12" spans="1:10">
      <c r="D12" s="230"/>
    </row>
    <row r="13" spans="1:10">
      <c r="D13" s="230"/>
    </row>
    <row r="14" spans="1:10">
      <c r="D14" s="230"/>
    </row>
    <row r="15" spans="1:10">
      <c r="D15" s="230"/>
    </row>
    <row r="16" spans="1:10">
      <c r="D16" s="230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D16DD-8180-4F5A-A3DD-7C353C852407}">
  <dimension ref="A1:AA345"/>
  <sheetViews>
    <sheetView topLeftCell="D2" workbookViewId="0">
      <selection activeCell="L29" sqref="L29"/>
    </sheetView>
  </sheetViews>
  <sheetFormatPr defaultColWidth="9.33203125" defaultRowHeight="14.4"/>
  <cols>
    <col min="1" max="1" width="4.6640625" style="250" bestFit="1" customWidth="1"/>
    <col min="2" max="2" width="11.77734375" style="249" bestFit="1" customWidth="1"/>
    <col min="3" max="3" width="11.77734375" style="249" hidden="1" customWidth="1"/>
    <col min="4" max="4" width="17.33203125" style="249" customWidth="1"/>
    <col min="5" max="6" width="16.6640625" style="250" bestFit="1" customWidth="1"/>
    <col min="7" max="7" width="16.6640625" style="251" bestFit="1" customWidth="1"/>
    <col min="8" max="8" width="15.44140625" style="251" customWidth="1"/>
    <col min="9" max="9" width="16.6640625" style="250" bestFit="1" customWidth="1"/>
    <col min="10" max="10" width="9.77734375" style="250" bestFit="1" customWidth="1"/>
    <col min="11" max="11" width="16.6640625" style="250" bestFit="1" customWidth="1"/>
    <col min="12" max="12" width="15.44140625" style="250" bestFit="1" customWidth="1"/>
    <col min="13" max="13" width="16.77734375" style="250" customWidth="1"/>
    <col min="14" max="14" width="18.6640625" style="250" customWidth="1"/>
    <col min="15" max="22" width="19" style="250" bestFit="1" customWidth="1"/>
    <col min="23" max="24" width="18.77734375" style="250" bestFit="1" customWidth="1"/>
    <col min="25" max="25" width="16.77734375" style="250" bestFit="1" customWidth="1"/>
    <col min="26" max="26" width="9.33203125" style="250"/>
    <col min="27" max="27" width="20" style="250" bestFit="1" customWidth="1"/>
    <col min="28" max="16384" width="9.33203125" style="250"/>
  </cols>
  <sheetData>
    <row r="1" spans="2:27" hidden="1">
      <c r="B1" s="249" t="s">
        <v>95</v>
      </c>
      <c r="E1" s="250">
        <v>4.55</v>
      </c>
    </row>
    <row r="3" spans="2:27">
      <c r="B3" s="384" t="s">
        <v>129</v>
      </c>
      <c r="C3" s="384"/>
      <c r="D3" s="384"/>
      <c r="E3" s="384"/>
      <c r="F3" s="384"/>
      <c r="G3" s="384"/>
      <c r="H3" s="384"/>
      <c r="I3" s="384"/>
    </row>
    <row r="4" spans="2:27">
      <c r="B4" s="252" t="s">
        <v>186</v>
      </c>
      <c r="E4" s="251">
        <f>8905536/2</f>
        <v>4452768</v>
      </c>
      <c r="F4" s="253" t="s">
        <v>97</v>
      </c>
      <c r="M4" s="250">
        <v>2024</v>
      </c>
      <c r="N4" s="250">
        <f t="shared" ref="N4:U4" si="0">M4+1</f>
        <v>2025</v>
      </c>
      <c r="O4" s="250">
        <f t="shared" si="0"/>
        <v>2026</v>
      </c>
      <c r="P4" s="250">
        <f t="shared" si="0"/>
        <v>2027</v>
      </c>
      <c r="Q4" s="250">
        <f t="shared" si="0"/>
        <v>2028</v>
      </c>
      <c r="R4" s="250">
        <f t="shared" si="0"/>
        <v>2029</v>
      </c>
      <c r="S4" s="250">
        <f t="shared" si="0"/>
        <v>2030</v>
      </c>
      <c r="T4" s="250">
        <f t="shared" si="0"/>
        <v>2031</v>
      </c>
      <c r="U4" s="250">
        <f t="shared" si="0"/>
        <v>2032</v>
      </c>
    </row>
    <row r="5" spans="2:27">
      <c r="B5" s="374"/>
      <c r="C5" s="254"/>
      <c r="D5" s="254"/>
      <c r="E5" s="376"/>
      <c r="F5" s="377"/>
    </row>
    <row r="6" spans="2:27">
      <c r="B6" s="374" t="s">
        <v>187</v>
      </c>
      <c r="E6" s="257">
        <v>0.06</v>
      </c>
      <c r="L6" s="250" t="s">
        <v>58</v>
      </c>
      <c r="M6" s="253">
        <f>K37</f>
        <v>494751.99999999994</v>
      </c>
      <c r="N6" s="253">
        <f>K49</f>
        <v>494751.99999999994</v>
      </c>
      <c r="O6" s="357">
        <f>K61</f>
        <v>494751.99999999994</v>
      </c>
      <c r="P6" s="357">
        <f>K73</f>
        <v>494751.99999999994</v>
      </c>
      <c r="Q6" s="357">
        <f>K85</f>
        <v>494751.99999999994</v>
      </c>
      <c r="R6" s="357">
        <f>K97</f>
        <v>494751.99999999994</v>
      </c>
      <c r="S6" s="357">
        <f>K109</f>
        <v>494751.99999999994</v>
      </c>
      <c r="T6" s="357">
        <f>K121</f>
        <v>494751.99999999994</v>
      </c>
      <c r="U6" s="357">
        <f>K133</f>
        <v>494751.99999999994</v>
      </c>
      <c r="V6" s="357"/>
      <c r="W6" s="253"/>
      <c r="X6" s="253"/>
      <c r="Y6" s="253"/>
      <c r="AA6" s="357">
        <f>SUM(M6:Z6)</f>
        <v>4452767.9999999991</v>
      </c>
    </row>
    <row r="7" spans="2:27">
      <c r="B7" s="249" t="s">
        <v>22</v>
      </c>
      <c r="E7" s="257">
        <v>8.9999999999999993E-3</v>
      </c>
      <c r="L7" s="250" t="s">
        <v>20</v>
      </c>
      <c r="M7" s="253">
        <f>L37</f>
        <v>296399.05164444447</v>
      </c>
      <c r="N7" s="253">
        <f>L49</f>
        <v>260957.28597777779</v>
      </c>
      <c r="O7" s="253">
        <f>L61</f>
        <v>226345.26064444429</v>
      </c>
      <c r="P7" s="253">
        <f>L73</f>
        <v>191733.23531111082</v>
      </c>
      <c r="Q7" s="253">
        <f>L85</f>
        <v>157587.4450222218</v>
      </c>
      <c r="R7" s="253">
        <f>L97</f>
        <v>122509.18464444406</v>
      </c>
      <c r="S7" s="253">
        <f>L109</f>
        <v>87897.159311110794</v>
      </c>
      <c r="T7" s="253">
        <f>L121</f>
        <v>53285.13397777747</v>
      </c>
      <c r="U7" s="253">
        <f>L133</f>
        <v>18760.0338222219</v>
      </c>
      <c r="V7" s="253"/>
      <c r="W7" s="253"/>
      <c r="X7" s="253"/>
      <c r="Y7" s="253"/>
      <c r="AA7" s="357">
        <f>SUM(M7:Z7)</f>
        <v>1415473.7903555536</v>
      </c>
    </row>
    <row r="8" spans="2:27">
      <c r="B8" s="375" t="s">
        <v>189</v>
      </c>
      <c r="C8" s="254"/>
      <c r="D8" s="254"/>
      <c r="E8" s="258">
        <f>E6+E7</f>
        <v>6.8999999999999992E-2</v>
      </c>
      <c r="M8" s="253">
        <f>E9</f>
        <v>8905.5360000000001</v>
      </c>
    </row>
    <row r="9" spans="2:27">
      <c r="B9" s="259" t="s">
        <v>188</v>
      </c>
      <c r="E9" s="260">
        <f>0.2%*E4</f>
        <v>8905.5360000000001</v>
      </c>
      <c r="M9" s="357">
        <f t="shared" ref="M9:T9" si="1">SUM(M6:M7)</f>
        <v>791151.05164444447</v>
      </c>
      <c r="N9" s="357">
        <f t="shared" si="1"/>
        <v>755709.28597777779</v>
      </c>
      <c r="O9" s="357">
        <f t="shared" si="1"/>
        <v>721097.26064444426</v>
      </c>
      <c r="P9" s="357">
        <f t="shared" si="1"/>
        <v>686485.23531111074</v>
      </c>
      <c r="Q9" s="357">
        <f t="shared" si="1"/>
        <v>652339.44502222177</v>
      </c>
      <c r="R9" s="357">
        <f t="shared" si="1"/>
        <v>617261.18464444403</v>
      </c>
      <c r="S9" s="357">
        <f t="shared" si="1"/>
        <v>582649.15931111074</v>
      </c>
      <c r="T9" s="357">
        <f t="shared" si="1"/>
        <v>548037.13397777744</v>
      </c>
      <c r="U9" s="357">
        <f>SUM(U6:U7)</f>
        <v>513512.03382222186</v>
      </c>
      <c r="V9" s="357"/>
      <c r="W9" s="357"/>
      <c r="X9" s="357"/>
      <c r="Y9" s="357"/>
    </row>
    <row r="10" spans="2:27">
      <c r="B10" s="259"/>
      <c r="E10" s="261"/>
    </row>
    <row r="11" spans="2:27" hidden="1">
      <c r="B11" s="249">
        <v>43100</v>
      </c>
      <c r="E11" s="257"/>
      <c r="F11" s="257"/>
    </row>
    <row r="12" spans="2:27">
      <c r="B12" s="262" t="s">
        <v>98</v>
      </c>
      <c r="C12" s="262"/>
      <c r="D12" s="262" t="s">
        <v>99</v>
      </c>
      <c r="E12" s="263" t="s">
        <v>100</v>
      </c>
      <c r="F12" s="262" t="s">
        <v>36</v>
      </c>
      <c r="G12" s="264" t="s">
        <v>32</v>
      </c>
      <c r="H12" s="264" t="s">
        <v>17</v>
      </c>
      <c r="I12" s="262" t="s">
        <v>40</v>
      </c>
    </row>
    <row r="13" spans="2:27">
      <c r="B13" s="265">
        <v>1</v>
      </c>
      <c r="C13" s="265"/>
      <c r="D13" s="265">
        <v>2</v>
      </c>
      <c r="E13" s="265">
        <v>3</v>
      </c>
      <c r="F13" s="265">
        <v>4</v>
      </c>
      <c r="G13" s="265">
        <v>5</v>
      </c>
      <c r="H13" s="265">
        <v>6</v>
      </c>
      <c r="I13" s="265" t="s">
        <v>101</v>
      </c>
    </row>
    <row r="14" spans="2:27" hidden="1">
      <c r="B14" s="266">
        <v>44227</v>
      </c>
      <c r="C14" s="266">
        <f t="shared" ref="C14:C23" si="2">B15</f>
        <v>44255</v>
      </c>
      <c r="D14" s="267"/>
      <c r="E14" s="268"/>
      <c r="F14" s="268"/>
      <c r="G14" s="267">
        <f>(B14-B11)*E8*F14/360</f>
        <v>0</v>
      </c>
      <c r="H14" s="267"/>
      <c r="I14" s="269"/>
    </row>
    <row r="15" spans="2:27" hidden="1">
      <c r="B15" s="266">
        <f>EOMONTH(B14,1)</f>
        <v>44255</v>
      </c>
      <c r="C15" s="266">
        <f t="shared" si="2"/>
        <v>44286</v>
      </c>
      <c r="D15" s="267"/>
      <c r="E15" s="268"/>
      <c r="F15" s="268"/>
      <c r="G15" s="267">
        <f>(B15-B14)*$E$8*F15/360</f>
        <v>0</v>
      </c>
      <c r="H15" s="267"/>
      <c r="I15" s="268">
        <f>E15+G15</f>
        <v>0</v>
      </c>
    </row>
    <row r="16" spans="2:27" hidden="1">
      <c r="B16" s="266">
        <f>EOMONTH(B15,1)</f>
        <v>44286</v>
      </c>
      <c r="C16" s="266">
        <f t="shared" si="2"/>
        <v>44316</v>
      </c>
      <c r="D16" s="270"/>
      <c r="E16" s="268"/>
      <c r="F16" s="270"/>
      <c r="G16" s="267">
        <f t="shared" ref="G16:G22" si="3">(B16-B15)*$E$8*F16/360</f>
        <v>0</v>
      </c>
      <c r="H16" s="267"/>
      <c r="I16" s="268">
        <f>E16+G16</f>
        <v>0</v>
      </c>
    </row>
    <row r="17" spans="1:12" hidden="1">
      <c r="B17" s="266">
        <f t="shared" ref="B17:B18" si="4">EOMONTH(B16,1)</f>
        <v>44316</v>
      </c>
      <c r="C17" s="266">
        <f t="shared" si="2"/>
        <v>44347</v>
      </c>
      <c r="D17" s="266"/>
      <c r="E17" s="268"/>
      <c r="F17" s="270"/>
      <c r="G17" s="267">
        <f t="shared" si="3"/>
        <v>0</v>
      </c>
      <c r="H17" s="267"/>
      <c r="I17" s="270">
        <f t="shared" ref="I17:I80" si="5">E17+G17</f>
        <v>0</v>
      </c>
    </row>
    <row r="18" spans="1:12" hidden="1">
      <c r="B18" s="266">
        <f t="shared" si="4"/>
        <v>44347</v>
      </c>
      <c r="C18" s="266">
        <f t="shared" si="2"/>
        <v>44348</v>
      </c>
      <c r="D18" s="270"/>
      <c r="E18" s="268"/>
      <c r="F18" s="270"/>
      <c r="G18" s="267">
        <f t="shared" si="3"/>
        <v>0</v>
      </c>
      <c r="H18" s="267"/>
      <c r="I18" s="270">
        <f t="shared" si="5"/>
        <v>0</v>
      </c>
    </row>
    <row r="19" spans="1:12" hidden="1">
      <c r="B19" s="266">
        <v>44348</v>
      </c>
      <c r="C19" s="266">
        <f t="shared" si="2"/>
        <v>44378</v>
      </c>
      <c r="D19" s="270"/>
      <c r="E19" s="268"/>
      <c r="F19" s="270"/>
      <c r="G19" s="267">
        <f t="shared" si="3"/>
        <v>0</v>
      </c>
      <c r="H19" s="267"/>
      <c r="I19" s="270">
        <f t="shared" si="5"/>
        <v>0</v>
      </c>
    </row>
    <row r="20" spans="1:12" hidden="1">
      <c r="B20" s="266">
        <f>EOMONTH(B19,0)+1</f>
        <v>44378</v>
      </c>
      <c r="C20" s="266">
        <f t="shared" si="2"/>
        <v>44409</v>
      </c>
      <c r="D20" s="350"/>
      <c r="E20" s="268"/>
      <c r="F20" s="270"/>
      <c r="G20" s="267">
        <f t="shared" si="3"/>
        <v>0</v>
      </c>
      <c r="H20" s="267"/>
      <c r="I20" s="270">
        <f t="shared" si="5"/>
        <v>0</v>
      </c>
    </row>
    <row r="21" spans="1:12" hidden="1">
      <c r="B21" s="266">
        <f t="shared" ref="B21:B24" si="6">EOMONTH(B20,0)+1</f>
        <v>44409</v>
      </c>
      <c r="C21" s="266">
        <f t="shared" si="2"/>
        <v>44440</v>
      </c>
      <c r="D21" s="350"/>
      <c r="E21" s="268">
        <f t="shared" ref="E21:E23" si="7">E20</f>
        <v>0</v>
      </c>
      <c r="F21" s="270">
        <v>0</v>
      </c>
      <c r="G21" s="267">
        <f t="shared" si="3"/>
        <v>0</v>
      </c>
      <c r="H21" s="267"/>
      <c r="I21" s="270">
        <f t="shared" si="5"/>
        <v>0</v>
      </c>
    </row>
    <row r="22" spans="1:12" hidden="1">
      <c r="B22" s="266">
        <f t="shared" si="6"/>
        <v>44440</v>
      </c>
      <c r="C22" s="266">
        <f t="shared" si="2"/>
        <v>44470</v>
      </c>
      <c r="D22" s="351"/>
      <c r="E22" s="268">
        <f>E21</f>
        <v>0</v>
      </c>
      <c r="F22" s="270">
        <f>F21-E21</f>
        <v>0</v>
      </c>
      <c r="G22" s="267">
        <f t="shared" si="3"/>
        <v>0</v>
      </c>
      <c r="H22" s="267"/>
      <c r="I22" s="270">
        <f t="shared" si="5"/>
        <v>0</v>
      </c>
    </row>
    <row r="23" spans="1:12" s="271" customFormat="1" hidden="1">
      <c r="A23" s="250"/>
      <c r="B23" s="272">
        <f t="shared" si="6"/>
        <v>44470</v>
      </c>
      <c r="C23" s="272">
        <f t="shared" si="2"/>
        <v>44501</v>
      </c>
      <c r="D23" s="352"/>
      <c r="E23" s="274">
        <f t="shared" si="7"/>
        <v>0</v>
      </c>
      <c r="F23" s="275">
        <f>D23</f>
        <v>0</v>
      </c>
      <c r="G23" s="273">
        <f>J23*$E$8*F23/360</f>
        <v>0</v>
      </c>
      <c r="H23" s="273"/>
      <c r="I23" s="275">
        <f t="shared" si="5"/>
        <v>0</v>
      </c>
    </row>
    <row r="24" spans="1:12" s="271" customFormat="1" hidden="1">
      <c r="A24" s="250"/>
      <c r="B24" s="272">
        <f t="shared" si="6"/>
        <v>44501</v>
      </c>
      <c r="C24" s="272">
        <f>B25</f>
        <v>44926</v>
      </c>
      <c r="D24" s="353"/>
      <c r="E24" s="274"/>
      <c r="F24" s="275">
        <f>F23-E24</f>
        <v>0</v>
      </c>
      <c r="G24" s="273">
        <f t="shared" ref="G24:G87" si="8">J24*$E$8*F24/360</f>
        <v>0</v>
      </c>
      <c r="H24" s="273"/>
      <c r="I24" s="275">
        <f t="shared" si="5"/>
        <v>0</v>
      </c>
    </row>
    <row r="25" spans="1:12" s="281" customFormat="1">
      <c r="B25" s="282">
        <v>44926</v>
      </c>
      <c r="C25" s="282" t="e">
        <f>#REF!</f>
        <v>#REF!</v>
      </c>
      <c r="D25" s="354">
        <f>E4</f>
        <v>4452768</v>
      </c>
      <c r="E25" s="283"/>
      <c r="F25" s="284">
        <f>F24-E25+D25</f>
        <v>4452768</v>
      </c>
      <c r="G25" s="285">
        <f t="shared" si="8"/>
        <v>337965.09119999997</v>
      </c>
      <c r="H25" s="285">
        <f>E9</f>
        <v>8905.5360000000001</v>
      </c>
      <c r="I25" s="284">
        <f>H25+G25</f>
        <v>346870.62719999999</v>
      </c>
      <c r="J25" s="281">
        <f t="shared" ref="J25:J26" si="9">B26-B25</f>
        <v>396</v>
      </c>
      <c r="L25" s="286"/>
    </row>
    <row r="26" spans="1:12" s="271" customFormat="1">
      <c r="A26" s="271">
        <v>1</v>
      </c>
      <c r="B26" s="272">
        <v>45322</v>
      </c>
      <c r="C26" s="272">
        <f>B27</f>
        <v>45351</v>
      </c>
      <c r="D26" s="352"/>
      <c r="E26" s="274">
        <f>E4/108</f>
        <v>41229.333333333336</v>
      </c>
      <c r="F26" s="275">
        <f>E4</f>
        <v>4452768</v>
      </c>
      <c r="G26" s="273">
        <f t="shared" si="8"/>
        <v>24749.968799999999</v>
      </c>
      <c r="H26" s="273"/>
      <c r="I26" s="275">
        <f t="shared" si="5"/>
        <v>65979.302133333331</v>
      </c>
      <c r="J26" s="271">
        <f t="shared" si="9"/>
        <v>29</v>
      </c>
    </row>
    <row r="27" spans="1:12" s="271" customFormat="1">
      <c r="A27" s="271">
        <v>1</v>
      </c>
      <c r="B27" s="272">
        <f t="shared" ref="B27:B90" si="10">EOMONTH(B26,1)</f>
        <v>45351</v>
      </c>
      <c r="C27" s="272">
        <f>B28</f>
        <v>45382</v>
      </c>
      <c r="D27" s="352"/>
      <c r="E27" s="274">
        <f>E4/108</f>
        <v>41229.333333333336</v>
      </c>
      <c r="F27" s="275">
        <f>F26-E27</f>
        <v>4411538.666666667</v>
      </c>
      <c r="G27" s="273">
        <f t="shared" si="8"/>
        <v>26211.892244444447</v>
      </c>
      <c r="H27" s="273"/>
      <c r="I27" s="275">
        <f t="shared" si="5"/>
        <v>67441.225577777775</v>
      </c>
      <c r="J27" s="271">
        <f>B28-B27</f>
        <v>31</v>
      </c>
    </row>
    <row r="28" spans="1:12" s="271" customFormat="1">
      <c r="A28" s="271">
        <f>A27+1</f>
        <v>2</v>
      </c>
      <c r="B28" s="272">
        <f t="shared" si="10"/>
        <v>45382</v>
      </c>
      <c r="C28" s="272">
        <f>B29</f>
        <v>45412</v>
      </c>
      <c r="D28" s="353"/>
      <c r="E28" s="274">
        <f t="shared" ref="E28:E91" si="11">E27</f>
        <v>41229.333333333336</v>
      </c>
      <c r="F28" s="275">
        <f t="shared" ref="F28:F91" si="12">F27-E28</f>
        <v>4370309.333333334</v>
      </c>
      <c r="G28" s="273">
        <f t="shared" si="8"/>
        <v>25966.921288888891</v>
      </c>
      <c r="H28" s="273"/>
      <c r="I28" s="275">
        <f t="shared" si="5"/>
        <v>67196.25462222223</v>
      </c>
      <c r="J28" s="271">
        <f>(B28-B27)</f>
        <v>31</v>
      </c>
    </row>
    <row r="29" spans="1:12" s="271" customFormat="1">
      <c r="A29" s="271">
        <f t="shared" ref="A29:A92" si="13">A28+1</f>
        <v>3</v>
      </c>
      <c r="B29" s="272">
        <f t="shared" si="10"/>
        <v>45412</v>
      </c>
      <c r="C29" s="272">
        <f t="shared" ref="C29:C92" si="14">B30</f>
        <v>45443</v>
      </c>
      <c r="D29" s="355"/>
      <c r="E29" s="274">
        <f t="shared" si="11"/>
        <v>41229.333333333336</v>
      </c>
      <c r="F29" s="275">
        <f t="shared" si="12"/>
        <v>4329080.0000000009</v>
      </c>
      <c r="G29" s="273">
        <f t="shared" si="8"/>
        <v>24892.210000000003</v>
      </c>
      <c r="H29" s="273"/>
      <c r="I29" s="275">
        <f t="shared" si="5"/>
        <v>66121.543333333335</v>
      </c>
      <c r="J29" s="271">
        <f t="shared" ref="J29:J92" si="15">(B29-B28)</f>
        <v>30</v>
      </c>
    </row>
    <row r="30" spans="1:12" s="271" customFormat="1">
      <c r="A30" s="271">
        <f t="shared" si="13"/>
        <v>4</v>
      </c>
      <c r="B30" s="272">
        <f t="shared" si="10"/>
        <v>45443</v>
      </c>
      <c r="C30" s="272">
        <f t="shared" si="14"/>
        <v>45473</v>
      </c>
      <c r="D30" s="355"/>
      <c r="E30" s="274">
        <f t="shared" si="11"/>
        <v>41229.333333333336</v>
      </c>
      <c r="F30" s="275">
        <f t="shared" si="12"/>
        <v>4287850.6666666679</v>
      </c>
      <c r="G30" s="273">
        <f t="shared" si="8"/>
        <v>25476.979377777781</v>
      </c>
      <c r="H30" s="273"/>
      <c r="I30" s="275">
        <f t="shared" si="5"/>
        <v>66706.312711111124</v>
      </c>
      <c r="J30" s="271">
        <f t="shared" si="15"/>
        <v>31</v>
      </c>
    </row>
    <row r="31" spans="1:12" s="271" customFormat="1">
      <c r="A31" s="271">
        <f t="shared" si="13"/>
        <v>5</v>
      </c>
      <c r="B31" s="272">
        <f t="shared" si="10"/>
        <v>45473</v>
      </c>
      <c r="C31" s="272">
        <f t="shared" si="14"/>
        <v>45504</v>
      </c>
      <c r="D31" s="355"/>
      <c r="E31" s="274">
        <f t="shared" si="11"/>
        <v>41229.333333333336</v>
      </c>
      <c r="F31" s="274">
        <f t="shared" si="12"/>
        <v>4246621.3333333349</v>
      </c>
      <c r="G31" s="273">
        <f t="shared" si="8"/>
        <v>24418.072666666671</v>
      </c>
      <c r="H31" s="273"/>
      <c r="I31" s="275">
        <f t="shared" si="5"/>
        <v>65647.406000000003</v>
      </c>
      <c r="J31" s="271">
        <f t="shared" si="15"/>
        <v>30</v>
      </c>
    </row>
    <row r="32" spans="1:12" s="271" customFormat="1">
      <c r="A32" s="271">
        <f t="shared" si="13"/>
        <v>6</v>
      </c>
      <c r="B32" s="272">
        <f t="shared" si="10"/>
        <v>45504</v>
      </c>
      <c r="C32" s="272">
        <f t="shared" si="14"/>
        <v>45535</v>
      </c>
      <c r="D32" s="355"/>
      <c r="E32" s="274">
        <f t="shared" si="11"/>
        <v>41229.333333333336</v>
      </c>
      <c r="F32" s="274">
        <f t="shared" si="12"/>
        <v>4205392.0000000019</v>
      </c>
      <c r="G32" s="273">
        <f t="shared" si="8"/>
        <v>24987.037466666676</v>
      </c>
      <c r="H32" s="273"/>
      <c r="I32" s="275">
        <f t="shared" si="5"/>
        <v>66216.370800000004</v>
      </c>
      <c r="J32" s="271">
        <f t="shared" si="15"/>
        <v>31</v>
      </c>
    </row>
    <row r="33" spans="1:12" s="271" customFormat="1">
      <c r="A33" s="271">
        <f t="shared" si="13"/>
        <v>7</v>
      </c>
      <c r="B33" s="272">
        <f t="shared" si="10"/>
        <v>45535</v>
      </c>
      <c r="C33" s="272">
        <f t="shared" si="14"/>
        <v>45565</v>
      </c>
      <c r="D33" s="355"/>
      <c r="E33" s="274">
        <f t="shared" si="11"/>
        <v>41229.333333333336</v>
      </c>
      <c r="F33" s="274">
        <f t="shared" si="12"/>
        <v>4164162.6666666684</v>
      </c>
      <c r="G33" s="273">
        <f t="shared" si="8"/>
        <v>24742.066511111116</v>
      </c>
      <c r="H33" s="273"/>
      <c r="I33" s="275">
        <f t="shared" si="5"/>
        <v>65971.399844444444</v>
      </c>
      <c r="J33" s="271">
        <f t="shared" si="15"/>
        <v>31</v>
      </c>
    </row>
    <row r="34" spans="1:12" s="271" customFormat="1">
      <c r="A34" s="271">
        <f t="shared" si="13"/>
        <v>8</v>
      </c>
      <c r="B34" s="272">
        <f t="shared" si="10"/>
        <v>45565</v>
      </c>
      <c r="C34" s="272">
        <f t="shared" si="14"/>
        <v>45596</v>
      </c>
      <c r="D34" s="355"/>
      <c r="E34" s="274">
        <f t="shared" si="11"/>
        <v>41229.333333333336</v>
      </c>
      <c r="F34" s="274">
        <f t="shared" si="12"/>
        <v>4122933.3333333349</v>
      </c>
      <c r="G34" s="273">
        <f t="shared" si="8"/>
        <v>23706.866666666672</v>
      </c>
      <c r="H34" s="273"/>
      <c r="I34" s="275">
        <f t="shared" si="5"/>
        <v>64936.200000000012</v>
      </c>
      <c r="J34" s="271">
        <f t="shared" si="15"/>
        <v>30</v>
      </c>
    </row>
    <row r="35" spans="1:12" s="271" customFormat="1">
      <c r="A35" s="271">
        <f t="shared" si="13"/>
        <v>9</v>
      </c>
      <c r="B35" s="272">
        <f t="shared" si="10"/>
        <v>45596</v>
      </c>
      <c r="C35" s="272">
        <f t="shared" si="14"/>
        <v>45626</v>
      </c>
      <c r="D35" s="355"/>
      <c r="E35" s="274">
        <f t="shared" si="11"/>
        <v>41229.333333333336</v>
      </c>
      <c r="F35" s="274">
        <f t="shared" si="12"/>
        <v>4081704.0000000014</v>
      </c>
      <c r="G35" s="273">
        <f t="shared" si="8"/>
        <v>24252.124600000006</v>
      </c>
      <c r="H35" s="273"/>
      <c r="I35" s="275">
        <f t="shared" si="5"/>
        <v>65481.457933333339</v>
      </c>
      <c r="J35" s="271">
        <f t="shared" si="15"/>
        <v>31</v>
      </c>
    </row>
    <row r="36" spans="1:12" s="271" customFormat="1">
      <c r="A36" s="271">
        <f t="shared" si="13"/>
        <v>10</v>
      </c>
      <c r="B36" s="272">
        <f t="shared" si="10"/>
        <v>45626</v>
      </c>
      <c r="C36" s="272">
        <f t="shared" si="14"/>
        <v>45657</v>
      </c>
      <c r="D36" s="355"/>
      <c r="E36" s="274">
        <f t="shared" si="11"/>
        <v>41229.333333333336</v>
      </c>
      <c r="F36" s="274">
        <f t="shared" si="12"/>
        <v>4040474.6666666679</v>
      </c>
      <c r="G36" s="273">
        <f t="shared" si="8"/>
        <v>23232.72933333334</v>
      </c>
      <c r="H36" s="273"/>
      <c r="I36" s="275">
        <f t="shared" si="5"/>
        <v>64462.062666666679</v>
      </c>
      <c r="J36" s="271">
        <f t="shared" si="15"/>
        <v>30</v>
      </c>
    </row>
    <row r="37" spans="1:12" s="281" customFormat="1">
      <c r="A37" s="271">
        <f t="shared" si="13"/>
        <v>11</v>
      </c>
      <c r="B37" s="282">
        <f t="shared" si="10"/>
        <v>45657</v>
      </c>
      <c r="C37" s="282">
        <f t="shared" si="14"/>
        <v>45688</v>
      </c>
      <c r="D37" s="349">
        <f>0.3*E4</f>
        <v>1335830.3999999999</v>
      </c>
      <c r="E37" s="274">
        <f t="shared" si="11"/>
        <v>41229.333333333336</v>
      </c>
      <c r="F37" s="283">
        <f t="shared" si="12"/>
        <v>3999245.3333333344</v>
      </c>
      <c r="G37" s="285">
        <f t="shared" si="8"/>
        <v>23762.182688888894</v>
      </c>
      <c r="H37" s="285"/>
      <c r="I37" s="284">
        <f t="shared" si="5"/>
        <v>64991.516022222233</v>
      </c>
      <c r="J37" s="281">
        <f t="shared" si="15"/>
        <v>31</v>
      </c>
      <c r="K37" s="286">
        <f>SUM(E26:E37)</f>
        <v>494751.99999999994</v>
      </c>
      <c r="L37" s="286">
        <f>SUM(G26:G37)</f>
        <v>296399.05164444447</v>
      </c>
    </row>
    <row r="38" spans="1:12" s="271" customFormat="1">
      <c r="A38" s="271">
        <f t="shared" si="13"/>
        <v>12</v>
      </c>
      <c r="B38" s="272">
        <f t="shared" si="10"/>
        <v>45688</v>
      </c>
      <c r="C38" s="272">
        <f t="shared" si="14"/>
        <v>45716</v>
      </c>
      <c r="D38" s="355"/>
      <c r="E38" s="274">
        <f t="shared" si="11"/>
        <v>41229.333333333336</v>
      </c>
      <c r="F38" s="274">
        <f t="shared" si="12"/>
        <v>3958016.0000000009</v>
      </c>
      <c r="G38" s="273">
        <f t="shared" si="8"/>
        <v>23517.211733333337</v>
      </c>
      <c r="H38" s="273"/>
      <c r="I38" s="275">
        <f t="shared" si="5"/>
        <v>64746.545066666673</v>
      </c>
      <c r="J38" s="271">
        <f t="shared" si="15"/>
        <v>31</v>
      </c>
    </row>
    <row r="39" spans="1:12" s="271" customFormat="1">
      <c r="A39" s="271">
        <f t="shared" si="13"/>
        <v>13</v>
      </c>
      <c r="B39" s="272">
        <f t="shared" si="10"/>
        <v>45716</v>
      </c>
      <c r="C39" s="272">
        <f t="shared" si="14"/>
        <v>45747</v>
      </c>
      <c r="D39" s="355"/>
      <c r="E39" s="274">
        <f t="shared" si="11"/>
        <v>41229.333333333336</v>
      </c>
      <c r="F39" s="274">
        <f t="shared" si="12"/>
        <v>3916786.6666666674</v>
      </c>
      <c r="G39" s="273">
        <f t="shared" si="8"/>
        <v>21020.088444444445</v>
      </c>
      <c r="H39" s="273"/>
      <c r="I39" s="275">
        <f t="shared" si="5"/>
        <v>62249.421777777781</v>
      </c>
      <c r="J39" s="271">
        <f t="shared" si="15"/>
        <v>28</v>
      </c>
    </row>
    <row r="40" spans="1:12" s="271" customFormat="1">
      <c r="A40" s="271">
        <f t="shared" si="13"/>
        <v>14</v>
      </c>
      <c r="B40" s="272">
        <f t="shared" si="10"/>
        <v>45747</v>
      </c>
      <c r="C40" s="272">
        <f t="shared" si="14"/>
        <v>45777</v>
      </c>
      <c r="D40" s="355"/>
      <c r="E40" s="274">
        <f t="shared" si="11"/>
        <v>41229.333333333336</v>
      </c>
      <c r="F40" s="274">
        <f t="shared" si="12"/>
        <v>3875557.333333334</v>
      </c>
      <c r="G40" s="273">
        <f t="shared" si="8"/>
        <v>23027.269822222224</v>
      </c>
      <c r="H40" s="273"/>
      <c r="I40" s="275">
        <f t="shared" si="5"/>
        <v>64256.60315555556</v>
      </c>
      <c r="J40" s="271">
        <f t="shared" si="15"/>
        <v>31</v>
      </c>
    </row>
    <row r="41" spans="1:12" s="271" customFormat="1">
      <c r="A41" s="271">
        <f t="shared" si="13"/>
        <v>15</v>
      </c>
      <c r="B41" s="272">
        <f t="shared" si="10"/>
        <v>45777</v>
      </c>
      <c r="C41" s="272">
        <f t="shared" si="14"/>
        <v>45808</v>
      </c>
      <c r="D41" s="355"/>
      <c r="E41" s="274">
        <f t="shared" si="11"/>
        <v>41229.333333333336</v>
      </c>
      <c r="F41" s="274">
        <f t="shared" si="12"/>
        <v>3834328.0000000005</v>
      </c>
      <c r="G41" s="273">
        <f t="shared" si="8"/>
        <v>22047.385999999999</v>
      </c>
      <c r="H41" s="273"/>
      <c r="I41" s="275">
        <f t="shared" si="5"/>
        <v>63276.719333333334</v>
      </c>
      <c r="J41" s="271">
        <f t="shared" si="15"/>
        <v>30</v>
      </c>
    </row>
    <row r="42" spans="1:12" s="271" customFormat="1">
      <c r="A42" s="271">
        <f t="shared" si="13"/>
        <v>16</v>
      </c>
      <c r="B42" s="272">
        <f t="shared" si="10"/>
        <v>45808</v>
      </c>
      <c r="C42" s="272">
        <f t="shared" si="14"/>
        <v>45838</v>
      </c>
      <c r="D42" s="355"/>
      <c r="E42" s="274">
        <f t="shared" si="11"/>
        <v>41229.333333333336</v>
      </c>
      <c r="F42" s="274">
        <f t="shared" si="12"/>
        <v>3793098.666666667</v>
      </c>
      <c r="G42" s="273">
        <f t="shared" si="8"/>
        <v>22537.327911111111</v>
      </c>
      <c r="H42" s="273"/>
      <c r="I42" s="275">
        <f t="shared" si="5"/>
        <v>63766.661244444447</v>
      </c>
      <c r="J42" s="271">
        <f t="shared" si="15"/>
        <v>31</v>
      </c>
    </row>
    <row r="43" spans="1:12" s="271" customFormat="1">
      <c r="A43" s="271">
        <f t="shared" si="13"/>
        <v>17</v>
      </c>
      <c r="B43" s="272">
        <f t="shared" si="10"/>
        <v>45838</v>
      </c>
      <c r="C43" s="272">
        <f t="shared" si="14"/>
        <v>45869</v>
      </c>
      <c r="D43" s="355"/>
      <c r="E43" s="274">
        <f t="shared" si="11"/>
        <v>41229.333333333336</v>
      </c>
      <c r="F43" s="274">
        <f t="shared" si="12"/>
        <v>3751869.3333333335</v>
      </c>
      <c r="G43" s="273">
        <f t="shared" si="8"/>
        <v>21573.248666666666</v>
      </c>
      <c r="H43" s="273"/>
      <c r="I43" s="275">
        <f t="shared" si="5"/>
        <v>62802.582000000002</v>
      </c>
      <c r="J43" s="271">
        <f t="shared" si="15"/>
        <v>30</v>
      </c>
    </row>
    <row r="44" spans="1:12" s="271" customFormat="1">
      <c r="A44" s="271">
        <f t="shared" si="13"/>
        <v>18</v>
      </c>
      <c r="B44" s="272">
        <f t="shared" si="10"/>
        <v>45869</v>
      </c>
      <c r="C44" s="272">
        <f t="shared" si="14"/>
        <v>45900</v>
      </c>
      <c r="D44" s="355"/>
      <c r="E44" s="274">
        <f t="shared" si="11"/>
        <v>41229.333333333336</v>
      </c>
      <c r="F44" s="274">
        <f t="shared" si="12"/>
        <v>3710640</v>
      </c>
      <c r="G44" s="273">
        <f t="shared" si="8"/>
        <v>22047.385999999999</v>
      </c>
      <c r="H44" s="273"/>
      <c r="I44" s="275">
        <f t="shared" si="5"/>
        <v>63276.719333333334</v>
      </c>
      <c r="J44" s="271">
        <f t="shared" si="15"/>
        <v>31</v>
      </c>
    </row>
    <row r="45" spans="1:12" s="271" customFormat="1">
      <c r="A45" s="271">
        <f t="shared" si="13"/>
        <v>19</v>
      </c>
      <c r="B45" s="272">
        <f t="shared" si="10"/>
        <v>45900</v>
      </c>
      <c r="C45" s="272">
        <f t="shared" si="14"/>
        <v>45930</v>
      </c>
      <c r="D45" s="355">
        <f>0.4*E4</f>
        <v>1781107.2000000002</v>
      </c>
      <c r="E45" s="274">
        <f t="shared" si="11"/>
        <v>41229.333333333336</v>
      </c>
      <c r="F45" s="274">
        <f t="shared" si="12"/>
        <v>3669410.6666666665</v>
      </c>
      <c r="G45" s="273">
        <f t="shared" si="8"/>
        <v>21802.415044444442</v>
      </c>
      <c r="H45" s="273"/>
      <c r="I45" s="275">
        <f t="shared" si="5"/>
        <v>63031.748377777782</v>
      </c>
      <c r="J45" s="271">
        <f t="shared" si="15"/>
        <v>31</v>
      </c>
    </row>
    <row r="46" spans="1:12" s="271" customFormat="1">
      <c r="A46" s="271">
        <f t="shared" si="13"/>
        <v>20</v>
      </c>
      <c r="B46" s="272">
        <f t="shared" si="10"/>
        <v>45930</v>
      </c>
      <c r="C46" s="272">
        <f t="shared" si="14"/>
        <v>45961</v>
      </c>
      <c r="D46" s="355"/>
      <c r="E46" s="274">
        <f t="shared" si="11"/>
        <v>41229.333333333336</v>
      </c>
      <c r="F46" s="274">
        <f t="shared" si="12"/>
        <v>3628181.333333333</v>
      </c>
      <c r="G46" s="273">
        <f t="shared" si="8"/>
        <v>20862.042666666661</v>
      </c>
      <c r="H46" s="273"/>
      <c r="I46" s="275">
        <f t="shared" si="5"/>
        <v>62091.375999999997</v>
      </c>
      <c r="J46" s="271">
        <f t="shared" si="15"/>
        <v>30</v>
      </c>
    </row>
    <row r="47" spans="1:12" s="271" customFormat="1">
      <c r="A47" s="271">
        <f t="shared" si="13"/>
        <v>21</v>
      </c>
      <c r="B47" s="272">
        <f t="shared" si="10"/>
        <v>45961</v>
      </c>
      <c r="C47" s="272">
        <f t="shared" si="14"/>
        <v>45991</v>
      </c>
      <c r="D47" s="355">
        <f>0.3*E4</f>
        <v>1335830.3999999999</v>
      </c>
      <c r="E47" s="274">
        <f t="shared" si="11"/>
        <v>41229.333333333336</v>
      </c>
      <c r="F47" s="274">
        <f t="shared" si="12"/>
        <v>3586951.9999999995</v>
      </c>
      <c r="G47" s="273">
        <f t="shared" si="8"/>
        <v>21312.473133333326</v>
      </c>
      <c r="H47" s="273"/>
      <c r="I47" s="275">
        <f t="shared" si="5"/>
        <v>62541.806466666661</v>
      </c>
      <c r="J47" s="271">
        <f t="shared" si="15"/>
        <v>31</v>
      </c>
    </row>
    <row r="48" spans="1:12" s="271" customFormat="1">
      <c r="A48" s="271">
        <f t="shared" si="13"/>
        <v>22</v>
      </c>
      <c r="B48" s="272">
        <f t="shared" si="10"/>
        <v>45991</v>
      </c>
      <c r="C48" s="272">
        <f t="shared" si="14"/>
        <v>46022</v>
      </c>
      <c r="D48" s="355"/>
      <c r="E48" s="274">
        <f t="shared" si="11"/>
        <v>41229.333333333336</v>
      </c>
      <c r="F48" s="274">
        <f t="shared" si="12"/>
        <v>3545722.666666666</v>
      </c>
      <c r="G48" s="273">
        <f t="shared" si="8"/>
        <v>20387.905333333329</v>
      </c>
      <c r="H48" s="273"/>
      <c r="I48" s="275">
        <f t="shared" si="5"/>
        <v>61617.238666666664</v>
      </c>
      <c r="J48" s="271">
        <f t="shared" si="15"/>
        <v>30</v>
      </c>
    </row>
    <row r="49" spans="1:12" s="281" customFormat="1">
      <c r="A49" s="271">
        <f t="shared" si="13"/>
        <v>23</v>
      </c>
      <c r="B49" s="282">
        <f t="shared" si="10"/>
        <v>46022</v>
      </c>
      <c r="C49" s="282">
        <f t="shared" si="14"/>
        <v>46053</v>
      </c>
      <c r="D49" s="354"/>
      <c r="E49" s="274">
        <f t="shared" si="11"/>
        <v>41229.333333333336</v>
      </c>
      <c r="F49" s="283">
        <f t="shared" si="12"/>
        <v>3504493.3333333326</v>
      </c>
      <c r="G49" s="285">
        <f t="shared" si="8"/>
        <v>20822.531222222216</v>
      </c>
      <c r="H49" s="285"/>
      <c r="I49" s="284">
        <f t="shared" si="5"/>
        <v>62051.864555555556</v>
      </c>
      <c r="J49" s="281">
        <f t="shared" si="15"/>
        <v>31</v>
      </c>
      <c r="K49" s="286">
        <f>SUM(E38:E49)</f>
        <v>494751.99999999994</v>
      </c>
      <c r="L49" s="286">
        <f>SUM(G38:G49)</f>
        <v>260957.28597777779</v>
      </c>
    </row>
    <row r="50" spans="1:12" s="271" customFormat="1">
      <c r="A50" s="271">
        <f t="shared" si="13"/>
        <v>24</v>
      </c>
      <c r="B50" s="272">
        <f t="shared" si="10"/>
        <v>46053</v>
      </c>
      <c r="C50" s="272">
        <f t="shared" si="14"/>
        <v>46081</v>
      </c>
      <c r="D50" s="355"/>
      <c r="E50" s="274">
        <f t="shared" si="11"/>
        <v>41229.333333333336</v>
      </c>
      <c r="F50" s="274">
        <f t="shared" si="12"/>
        <v>3463263.9999999991</v>
      </c>
      <c r="G50" s="273">
        <f t="shared" si="8"/>
        <v>20577.56026666666</v>
      </c>
      <c r="H50" s="273"/>
      <c r="I50" s="275">
        <f t="shared" si="5"/>
        <v>61806.893599999996</v>
      </c>
      <c r="J50" s="271">
        <f t="shared" si="15"/>
        <v>31</v>
      </c>
    </row>
    <row r="51" spans="1:12" s="271" customFormat="1">
      <c r="A51" s="271">
        <f t="shared" si="13"/>
        <v>25</v>
      </c>
      <c r="B51" s="272">
        <f t="shared" si="10"/>
        <v>46081</v>
      </c>
      <c r="C51" s="272">
        <f t="shared" si="14"/>
        <v>46112</v>
      </c>
      <c r="D51" s="355"/>
      <c r="E51" s="274">
        <f t="shared" si="11"/>
        <v>41229.333333333336</v>
      </c>
      <c r="F51" s="274">
        <f t="shared" si="12"/>
        <v>3422034.6666666656</v>
      </c>
      <c r="G51" s="273">
        <f t="shared" si="8"/>
        <v>18364.919377777769</v>
      </c>
      <c r="H51" s="273"/>
      <c r="I51" s="275">
        <f t="shared" si="5"/>
        <v>59594.252711111105</v>
      </c>
      <c r="J51" s="271">
        <f t="shared" si="15"/>
        <v>28</v>
      </c>
    </row>
    <row r="52" spans="1:12" s="271" customFormat="1">
      <c r="A52" s="271">
        <f t="shared" si="13"/>
        <v>26</v>
      </c>
      <c r="B52" s="272">
        <f t="shared" si="10"/>
        <v>46112</v>
      </c>
      <c r="C52" s="272">
        <f t="shared" si="14"/>
        <v>46142</v>
      </c>
      <c r="D52" s="355"/>
      <c r="E52" s="274">
        <f t="shared" si="11"/>
        <v>41229.333333333336</v>
      </c>
      <c r="F52" s="274">
        <f t="shared" si="12"/>
        <v>3380805.3333333321</v>
      </c>
      <c r="G52" s="273">
        <f t="shared" si="8"/>
        <v>20087.618355555544</v>
      </c>
      <c r="H52" s="273"/>
      <c r="I52" s="275">
        <f t="shared" si="5"/>
        <v>61316.951688888876</v>
      </c>
      <c r="J52" s="271">
        <f t="shared" si="15"/>
        <v>31</v>
      </c>
    </row>
    <row r="53" spans="1:12" s="271" customFormat="1">
      <c r="A53" s="271">
        <f t="shared" si="13"/>
        <v>27</v>
      </c>
      <c r="B53" s="272">
        <f t="shared" si="10"/>
        <v>46142</v>
      </c>
      <c r="C53" s="272">
        <f t="shared" si="14"/>
        <v>46173</v>
      </c>
      <c r="D53" s="355"/>
      <c r="E53" s="274">
        <f t="shared" si="11"/>
        <v>41229.333333333336</v>
      </c>
      <c r="F53" s="274">
        <f t="shared" si="12"/>
        <v>3339575.9999999986</v>
      </c>
      <c r="G53" s="273">
        <f t="shared" si="8"/>
        <v>19202.561999999991</v>
      </c>
      <c r="H53" s="273"/>
      <c r="I53" s="275">
        <f t="shared" si="5"/>
        <v>60431.895333333327</v>
      </c>
      <c r="J53" s="271">
        <f t="shared" si="15"/>
        <v>30</v>
      </c>
    </row>
    <row r="54" spans="1:12" s="271" customFormat="1">
      <c r="A54" s="271">
        <f t="shared" si="13"/>
        <v>28</v>
      </c>
      <c r="B54" s="272">
        <f t="shared" si="10"/>
        <v>46173</v>
      </c>
      <c r="C54" s="272">
        <f t="shared" si="14"/>
        <v>46203</v>
      </c>
      <c r="D54" s="355"/>
      <c r="E54" s="274">
        <f t="shared" si="11"/>
        <v>41229.333333333336</v>
      </c>
      <c r="F54" s="274">
        <f t="shared" si="12"/>
        <v>3298346.6666666651</v>
      </c>
      <c r="G54" s="273">
        <f t="shared" si="8"/>
        <v>19597.676444444434</v>
      </c>
      <c r="H54" s="273"/>
      <c r="I54" s="275">
        <f t="shared" si="5"/>
        <v>60827.00977777777</v>
      </c>
      <c r="J54" s="271">
        <f t="shared" si="15"/>
        <v>31</v>
      </c>
    </row>
    <row r="55" spans="1:12" s="271" customFormat="1">
      <c r="A55" s="271">
        <f t="shared" si="13"/>
        <v>29</v>
      </c>
      <c r="B55" s="272">
        <f t="shared" si="10"/>
        <v>46203</v>
      </c>
      <c r="C55" s="272">
        <f t="shared" si="14"/>
        <v>46234</v>
      </c>
      <c r="D55" s="355"/>
      <c r="E55" s="274">
        <f t="shared" si="11"/>
        <v>41229.333333333336</v>
      </c>
      <c r="F55" s="274">
        <f t="shared" si="12"/>
        <v>3257117.3333333316</v>
      </c>
      <c r="G55" s="273">
        <f t="shared" si="8"/>
        <v>18728.424666666655</v>
      </c>
      <c r="H55" s="273"/>
      <c r="I55" s="275">
        <f t="shared" si="5"/>
        <v>59957.757999999987</v>
      </c>
      <c r="J55" s="271">
        <f t="shared" si="15"/>
        <v>30</v>
      </c>
    </row>
    <row r="56" spans="1:12" s="271" customFormat="1">
      <c r="A56" s="271">
        <f t="shared" si="13"/>
        <v>30</v>
      </c>
      <c r="B56" s="272">
        <f t="shared" si="10"/>
        <v>46234</v>
      </c>
      <c r="C56" s="272">
        <f t="shared" si="14"/>
        <v>46265</v>
      </c>
      <c r="D56" s="355"/>
      <c r="E56" s="274">
        <f t="shared" si="11"/>
        <v>41229.333333333336</v>
      </c>
      <c r="F56" s="274">
        <f t="shared" si="12"/>
        <v>3215887.9999999981</v>
      </c>
      <c r="G56" s="273">
        <f t="shared" si="8"/>
        <v>19107.734533333321</v>
      </c>
      <c r="H56" s="273"/>
      <c r="I56" s="275">
        <f t="shared" si="5"/>
        <v>60337.067866666657</v>
      </c>
      <c r="J56" s="271">
        <f t="shared" si="15"/>
        <v>31</v>
      </c>
    </row>
    <row r="57" spans="1:12" s="271" customFormat="1">
      <c r="A57" s="271">
        <f t="shared" si="13"/>
        <v>31</v>
      </c>
      <c r="B57" s="272">
        <f t="shared" si="10"/>
        <v>46265</v>
      </c>
      <c r="C57" s="272">
        <f t="shared" si="14"/>
        <v>46295</v>
      </c>
      <c r="D57" s="355"/>
      <c r="E57" s="274">
        <f t="shared" si="11"/>
        <v>41229.333333333336</v>
      </c>
      <c r="F57" s="274">
        <f t="shared" si="12"/>
        <v>3174658.6666666646</v>
      </c>
      <c r="G57" s="273">
        <f t="shared" si="8"/>
        <v>18862.763577777761</v>
      </c>
      <c r="H57" s="273"/>
      <c r="I57" s="275">
        <f t="shared" si="5"/>
        <v>60092.096911111097</v>
      </c>
      <c r="J57" s="271">
        <f t="shared" si="15"/>
        <v>31</v>
      </c>
    </row>
    <row r="58" spans="1:12" s="271" customFormat="1">
      <c r="A58" s="271">
        <f t="shared" si="13"/>
        <v>32</v>
      </c>
      <c r="B58" s="272">
        <f t="shared" si="10"/>
        <v>46295</v>
      </c>
      <c r="C58" s="272">
        <f t="shared" si="14"/>
        <v>46326</v>
      </c>
      <c r="D58" s="355"/>
      <c r="E58" s="274">
        <f t="shared" si="11"/>
        <v>41229.333333333336</v>
      </c>
      <c r="F58" s="274">
        <f t="shared" si="12"/>
        <v>3133429.3333333312</v>
      </c>
      <c r="G58" s="273">
        <f t="shared" si="8"/>
        <v>18017.218666666653</v>
      </c>
      <c r="H58" s="273"/>
      <c r="I58" s="275">
        <f t="shared" si="5"/>
        <v>59246.551999999989</v>
      </c>
      <c r="J58" s="271">
        <f t="shared" si="15"/>
        <v>30</v>
      </c>
    </row>
    <row r="59" spans="1:12" s="271" customFormat="1">
      <c r="A59" s="271">
        <f t="shared" si="13"/>
        <v>33</v>
      </c>
      <c r="B59" s="272">
        <f t="shared" si="10"/>
        <v>46326</v>
      </c>
      <c r="C59" s="272">
        <f t="shared" si="14"/>
        <v>46356</v>
      </c>
      <c r="D59" s="355"/>
      <c r="E59" s="274">
        <f t="shared" si="11"/>
        <v>41229.333333333336</v>
      </c>
      <c r="F59" s="274">
        <f t="shared" si="12"/>
        <v>3092199.9999999977</v>
      </c>
      <c r="G59" s="273">
        <f t="shared" si="8"/>
        <v>18372.821666666652</v>
      </c>
      <c r="H59" s="273"/>
      <c r="I59" s="275">
        <f t="shared" si="5"/>
        <v>59602.154999999984</v>
      </c>
      <c r="J59" s="271">
        <f t="shared" si="15"/>
        <v>31</v>
      </c>
    </row>
    <row r="60" spans="1:12" s="271" customFormat="1">
      <c r="A60" s="271">
        <f t="shared" si="13"/>
        <v>34</v>
      </c>
      <c r="B60" s="272">
        <f t="shared" si="10"/>
        <v>46356</v>
      </c>
      <c r="C60" s="272">
        <f t="shared" si="14"/>
        <v>46387</v>
      </c>
      <c r="D60" s="355"/>
      <c r="E60" s="274">
        <f t="shared" si="11"/>
        <v>41229.333333333336</v>
      </c>
      <c r="F60" s="274">
        <f t="shared" si="12"/>
        <v>3050970.6666666642</v>
      </c>
      <c r="G60" s="273">
        <f t="shared" si="8"/>
        <v>17543.081333333317</v>
      </c>
      <c r="H60" s="273"/>
      <c r="I60" s="275">
        <f t="shared" si="5"/>
        <v>58772.414666666649</v>
      </c>
      <c r="J60" s="271">
        <f t="shared" si="15"/>
        <v>30</v>
      </c>
    </row>
    <row r="61" spans="1:12" s="281" customFormat="1">
      <c r="A61" s="271">
        <f t="shared" si="13"/>
        <v>35</v>
      </c>
      <c r="B61" s="282">
        <f t="shared" si="10"/>
        <v>46387</v>
      </c>
      <c r="C61" s="282">
        <f t="shared" si="14"/>
        <v>46418</v>
      </c>
      <c r="D61" s="354"/>
      <c r="E61" s="283">
        <f t="shared" si="11"/>
        <v>41229.333333333336</v>
      </c>
      <c r="F61" s="283">
        <f t="shared" si="12"/>
        <v>3009741.3333333307</v>
      </c>
      <c r="G61" s="285">
        <f t="shared" si="8"/>
        <v>17882.879755555539</v>
      </c>
      <c r="H61" s="285"/>
      <c r="I61" s="284">
        <f t="shared" si="5"/>
        <v>59112.213088888879</v>
      </c>
      <c r="J61" s="281">
        <f t="shared" si="15"/>
        <v>31</v>
      </c>
      <c r="K61" s="286">
        <f>SUM(E50:E61)</f>
        <v>494751.99999999994</v>
      </c>
      <c r="L61" s="286">
        <f>SUM(G50:G61)</f>
        <v>226345.26064444429</v>
      </c>
    </row>
    <row r="62" spans="1:12" s="271" customFormat="1">
      <c r="A62" s="271">
        <f t="shared" si="13"/>
        <v>36</v>
      </c>
      <c r="B62" s="272">
        <f t="shared" si="10"/>
        <v>46418</v>
      </c>
      <c r="C62" s="272">
        <f t="shared" si="14"/>
        <v>46446</v>
      </c>
      <c r="D62" s="355"/>
      <c r="E62" s="274">
        <f t="shared" si="11"/>
        <v>41229.333333333336</v>
      </c>
      <c r="F62" s="274">
        <f t="shared" si="12"/>
        <v>2968511.9999999972</v>
      </c>
      <c r="G62" s="273">
        <f t="shared" si="8"/>
        <v>17637.908799999979</v>
      </c>
      <c r="H62" s="273"/>
      <c r="I62" s="275">
        <f t="shared" si="5"/>
        <v>58867.242133333319</v>
      </c>
      <c r="J62" s="271">
        <f t="shared" si="15"/>
        <v>31</v>
      </c>
    </row>
    <row r="63" spans="1:12" s="271" customFormat="1">
      <c r="A63" s="271">
        <f t="shared" si="13"/>
        <v>37</v>
      </c>
      <c r="B63" s="272">
        <f t="shared" si="10"/>
        <v>46446</v>
      </c>
      <c r="C63" s="272">
        <f t="shared" si="14"/>
        <v>46477</v>
      </c>
      <c r="D63" s="355"/>
      <c r="E63" s="274">
        <f t="shared" si="11"/>
        <v>41229.333333333336</v>
      </c>
      <c r="F63" s="274">
        <f t="shared" si="12"/>
        <v>2927282.6666666637</v>
      </c>
      <c r="G63" s="273">
        <f t="shared" si="8"/>
        <v>15709.750311111093</v>
      </c>
      <c r="H63" s="273"/>
      <c r="I63" s="275">
        <f t="shared" si="5"/>
        <v>56939.083644444429</v>
      </c>
      <c r="J63" s="271">
        <f t="shared" si="15"/>
        <v>28</v>
      </c>
    </row>
    <row r="64" spans="1:12" s="271" customFormat="1">
      <c r="A64" s="271">
        <f t="shared" si="13"/>
        <v>38</v>
      </c>
      <c r="B64" s="272">
        <f t="shared" si="10"/>
        <v>46477</v>
      </c>
      <c r="C64" s="272">
        <f t="shared" si="14"/>
        <v>46507</v>
      </c>
      <c r="D64" s="355"/>
      <c r="E64" s="274">
        <f t="shared" si="11"/>
        <v>41229.333333333336</v>
      </c>
      <c r="F64" s="274">
        <f t="shared" si="12"/>
        <v>2886053.3333333302</v>
      </c>
      <c r="G64" s="273">
        <f t="shared" si="8"/>
        <v>17147.96688888887</v>
      </c>
      <c r="H64" s="273"/>
      <c r="I64" s="275">
        <f t="shared" si="5"/>
        <v>58377.300222222206</v>
      </c>
      <c r="J64" s="271">
        <f t="shared" si="15"/>
        <v>31</v>
      </c>
    </row>
    <row r="65" spans="1:12" s="271" customFormat="1">
      <c r="A65" s="271">
        <f t="shared" si="13"/>
        <v>39</v>
      </c>
      <c r="B65" s="272">
        <f t="shared" si="10"/>
        <v>46507</v>
      </c>
      <c r="C65" s="272">
        <f t="shared" si="14"/>
        <v>46538</v>
      </c>
      <c r="D65" s="355"/>
      <c r="E65" s="274">
        <f t="shared" si="11"/>
        <v>41229.333333333336</v>
      </c>
      <c r="F65" s="274">
        <f t="shared" si="12"/>
        <v>2844823.9999999967</v>
      </c>
      <c r="G65" s="273">
        <f t="shared" si="8"/>
        <v>16357.737999999981</v>
      </c>
      <c r="H65" s="273"/>
      <c r="I65" s="275">
        <f t="shared" si="5"/>
        <v>57587.071333333319</v>
      </c>
      <c r="J65" s="271">
        <f t="shared" si="15"/>
        <v>30</v>
      </c>
    </row>
    <row r="66" spans="1:12" s="271" customFormat="1">
      <c r="A66" s="271">
        <f t="shared" si="13"/>
        <v>40</v>
      </c>
      <c r="B66" s="272">
        <f t="shared" si="10"/>
        <v>46538</v>
      </c>
      <c r="C66" s="272">
        <f t="shared" si="14"/>
        <v>46568</v>
      </c>
      <c r="D66" s="355"/>
      <c r="E66" s="274">
        <f t="shared" si="11"/>
        <v>41229.333333333336</v>
      </c>
      <c r="F66" s="274">
        <f t="shared" si="12"/>
        <v>2803594.6666666633</v>
      </c>
      <c r="G66" s="273">
        <f t="shared" si="8"/>
        <v>16658.024977777757</v>
      </c>
      <c r="H66" s="273"/>
      <c r="I66" s="275">
        <f t="shared" si="5"/>
        <v>57887.358311111093</v>
      </c>
      <c r="J66" s="271">
        <f t="shared" si="15"/>
        <v>31</v>
      </c>
    </row>
    <row r="67" spans="1:12" s="271" customFormat="1">
      <c r="A67" s="271">
        <f t="shared" si="13"/>
        <v>41</v>
      </c>
      <c r="B67" s="272">
        <f t="shared" si="10"/>
        <v>46568</v>
      </c>
      <c r="C67" s="272">
        <f t="shared" si="14"/>
        <v>46599</v>
      </c>
      <c r="D67" s="355"/>
      <c r="E67" s="274">
        <f t="shared" si="11"/>
        <v>41229.333333333336</v>
      </c>
      <c r="F67" s="274">
        <f t="shared" si="12"/>
        <v>2762365.3333333298</v>
      </c>
      <c r="G67" s="273">
        <f t="shared" si="8"/>
        <v>15883.600666666644</v>
      </c>
      <c r="H67" s="273"/>
      <c r="I67" s="275">
        <f t="shared" si="5"/>
        <v>57112.933999999979</v>
      </c>
      <c r="J67" s="271">
        <f t="shared" si="15"/>
        <v>30</v>
      </c>
    </row>
    <row r="68" spans="1:12" s="271" customFormat="1">
      <c r="A68" s="271">
        <f t="shared" si="13"/>
        <v>42</v>
      </c>
      <c r="B68" s="272">
        <f t="shared" si="10"/>
        <v>46599</v>
      </c>
      <c r="C68" s="272">
        <f t="shared" si="14"/>
        <v>46630</v>
      </c>
      <c r="D68" s="355"/>
      <c r="E68" s="274">
        <f t="shared" si="11"/>
        <v>41229.333333333336</v>
      </c>
      <c r="F68" s="274">
        <f t="shared" si="12"/>
        <v>2721135.9999999963</v>
      </c>
      <c r="G68" s="273">
        <f t="shared" si="8"/>
        <v>16168.083066666644</v>
      </c>
      <c r="H68" s="273"/>
      <c r="I68" s="275">
        <f t="shared" si="5"/>
        <v>57397.41639999998</v>
      </c>
      <c r="J68" s="271">
        <f t="shared" si="15"/>
        <v>31</v>
      </c>
    </row>
    <row r="69" spans="1:12" s="271" customFormat="1">
      <c r="A69" s="271">
        <f t="shared" si="13"/>
        <v>43</v>
      </c>
      <c r="B69" s="272">
        <f t="shared" si="10"/>
        <v>46630</v>
      </c>
      <c r="C69" s="272">
        <f t="shared" si="14"/>
        <v>46660</v>
      </c>
      <c r="D69" s="355"/>
      <c r="E69" s="274">
        <f t="shared" si="11"/>
        <v>41229.333333333336</v>
      </c>
      <c r="F69" s="274">
        <f t="shared" si="12"/>
        <v>2679906.6666666628</v>
      </c>
      <c r="G69" s="273">
        <f t="shared" si="8"/>
        <v>15923.112111111086</v>
      </c>
      <c r="H69" s="273"/>
      <c r="I69" s="275">
        <f t="shared" si="5"/>
        <v>57152.44544444442</v>
      </c>
      <c r="J69" s="271">
        <f t="shared" si="15"/>
        <v>31</v>
      </c>
    </row>
    <row r="70" spans="1:12" s="271" customFormat="1">
      <c r="A70" s="271">
        <f t="shared" si="13"/>
        <v>44</v>
      </c>
      <c r="B70" s="272">
        <f t="shared" si="10"/>
        <v>46660</v>
      </c>
      <c r="C70" s="272">
        <f t="shared" si="14"/>
        <v>46691</v>
      </c>
      <c r="D70" s="355"/>
      <c r="E70" s="274">
        <f t="shared" si="11"/>
        <v>41229.333333333336</v>
      </c>
      <c r="F70" s="274">
        <f t="shared" si="12"/>
        <v>2638677.3333333293</v>
      </c>
      <c r="G70" s="273">
        <f t="shared" si="8"/>
        <v>15172.394666666642</v>
      </c>
      <c r="H70" s="273"/>
      <c r="I70" s="275">
        <f t="shared" si="5"/>
        <v>56401.727999999974</v>
      </c>
      <c r="J70" s="271">
        <f t="shared" si="15"/>
        <v>30</v>
      </c>
    </row>
    <row r="71" spans="1:12" s="271" customFormat="1">
      <c r="A71" s="271">
        <f t="shared" si="13"/>
        <v>45</v>
      </c>
      <c r="B71" s="272">
        <f t="shared" si="10"/>
        <v>46691</v>
      </c>
      <c r="C71" s="272">
        <f t="shared" si="14"/>
        <v>46721</v>
      </c>
      <c r="D71" s="355"/>
      <c r="E71" s="274">
        <f t="shared" si="11"/>
        <v>41229.333333333336</v>
      </c>
      <c r="F71" s="274">
        <f t="shared" si="12"/>
        <v>2597447.9999999958</v>
      </c>
      <c r="G71" s="273">
        <f t="shared" si="8"/>
        <v>15433.170199999973</v>
      </c>
      <c r="H71" s="273"/>
      <c r="I71" s="275">
        <f t="shared" si="5"/>
        <v>56662.503533333307</v>
      </c>
      <c r="J71" s="271">
        <f t="shared" si="15"/>
        <v>31</v>
      </c>
    </row>
    <row r="72" spans="1:12" s="271" customFormat="1">
      <c r="A72" s="271">
        <f t="shared" si="13"/>
        <v>46</v>
      </c>
      <c r="B72" s="272">
        <f t="shared" si="10"/>
        <v>46721</v>
      </c>
      <c r="C72" s="272">
        <f t="shared" si="14"/>
        <v>46752</v>
      </c>
      <c r="D72" s="355"/>
      <c r="E72" s="274">
        <f t="shared" si="11"/>
        <v>41229.333333333336</v>
      </c>
      <c r="F72" s="274">
        <f t="shared" si="12"/>
        <v>2556218.6666666623</v>
      </c>
      <c r="G72" s="273">
        <f t="shared" si="8"/>
        <v>14698.257333333306</v>
      </c>
      <c r="H72" s="273"/>
      <c r="I72" s="275">
        <f t="shared" si="5"/>
        <v>55927.590666666641</v>
      </c>
      <c r="J72" s="271">
        <f t="shared" si="15"/>
        <v>30</v>
      </c>
    </row>
    <row r="73" spans="1:12" s="281" customFormat="1">
      <c r="A73" s="271">
        <f t="shared" si="13"/>
        <v>47</v>
      </c>
      <c r="B73" s="282">
        <f t="shared" si="10"/>
        <v>46752</v>
      </c>
      <c r="C73" s="282">
        <f t="shared" si="14"/>
        <v>46783</v>
      </c>
      <c r="D73" s="354"/>
      <c r="E73" s="283">
        <f t="shared" si="11"/>
        <v>41229.333333333336</v>
      </c>
      <c r="F73" s="283">
        <f t="shared" si="12"/>
        <v>2514989.3333333288</v>
      </c>
      <c r="G73" s="285">
        <f t="shared" si="8"/>
        <v>14943.228288888862</v>
      </c>
      <c r="H73" s="285"/>
      <c r="I73" s="284">
        <f t="shared" si="5"/>
        <v>56172.561622222202</v>
      </c>
      <c r="J73" s="281">
        <f t="shared" si="15"/>
        <v>31</v>
      </c>
      <c r="K73" s="286">
        <f>SUM(E62:E73)</f>
        <v>494751.99999999994</v>
      </c>
      <c r="L73" s="286">
        <f>SUM(G62:G73)</f>
        <v>191733.23531111082</v>
      </c>
    </row>
    <row r="74" spans="1:12" s="271" customFormat="1">
      <c r="A74" s="271">
        <f t="shared" si="13"/>
        <v>48</v>
      </c>
      <c r="B74" s="272">
        <f t="shared" si="10"/>
        <v>46783</v>
      </c>
      <c r="C74" s="272">
        <f t="shared" si="14"/>
        <v>46812</v>
      </c>
      <c r="D74" s="355"/>
      <c r="E74" s="274">
        <f t="shared" si="11"/>
        <v>41229.333333333336</v>
      </c>
      <c r="F74" s="274">
        <f t="shared" si="12"/>
        <v>2473759.9999999953</v>
      </c>
      <c r="G74" s="273">
        <f t="shared" si="8"/>
        <v>14698.257333333304</v>
      </c>
      <c r="H74" s="273"/>
      <c r="I74" s="275">
        <f t="shared" si="5"/>
        <v>55927.590666666641</v>
      </c>
      <c r="J74" s="271">
        <f t="shared" si="15"/>
        <v>31</v>
      </c>
    </row>
    <row r="75" spans="1:12" s="271" customFormat="1">
      <c r="A75" s="271">
        <f t="shared" si="13"/>
        <v>49</v>
      </c>
      <c r="B75" s="272">
        <f t="shared" si="10"/>
        <v>46812</v>
      </c>
      <c r="C75" s="272">
        <f t="shared" si="14"/>
        <v>46843</v>
      </c>
      <c r="D75" s="355"/>
      <c r="E75" s="274">
        <f t="shared" si="11"/>
        <v>41229.333333333336</v>
      </c>
      <c r="F75" s="274">
        <f t="shared" si="12"/>
        <v>2432530.6666666619</v>
      </c>
      <c r="G75" s="273">
        <f t="shared" si="8"/>
        <v>13520.81628888886</v>
      </c>
      <c r="H75" s="273"/>
      <c r="I75" s="275">
        <f t="shared" si="5"/>
        <v>54750.149622222198</v>
      </c>
      <c r="J75" s="271">
        <f t="shared" si="15"/>
        <v>29</v>
      </c>
    </row>
    <row r="76" spans="1:12" s="271" customFormat="1">
      <c r="A76" s="271">
        <f t="shared" si="13"/>
        <v>50</v>
      </c>
      <c r="B76" s="272">
        <f t="shared" si="10"/>
        <v>46843</v>
      </c>
      <c r="C76" s="272">
        <f t="shared" si="14"/>
        <v>46873</v>
      </c>
      <c r="D76" s="355"/>
      <c r="E76" s="274">
        <f t="shared" si="11"/>
        <v>41229.333333333336</v>
      </c>
      <c r="F76" s="274">
        <f t="shared" si="12"/>
        <v>2391301.3333333284</v>
      </c>
      <c r="G76" s="273">
        <f t="shared" si="8"/>
        <v>14208.315422222191</v>
      </c>
      <c r="H76" s="273"/>
      <c r="I76" s="275">
        <f t="shared" si="5"/>
        <v>55437.648755555529</v>
      </c>
      <c r="J76" s="271">
        <f t="shared" si="15"/>
        <v>31</v>
      </c>
    </row>
    <row r="77" spans="1:12" s="271" customFormat="1">
      <c r="A77" s="271">
        <f t="shared" si="13"/>
        <v>51</v>
      </c>
      <c r="B77" s="272">
        <f t="shared" si="10"/>
        <v>46873</v>
      </c>
      <c r="C77" s="272">
        <f t="shared" si="14"/>
        <v>46904</v>
      </c>
      <c r="D77" s="355"/>
      <c r="E77" s="274">
        <f t="shared" si="11"/>
        <v>41229.333333333336</v>
      </c>
      <c r="F77" s="274">
        <f t="shared" si="12"/>
        <v>2350071.9999999949</v>
      </c>
      <c r="G77" s="273">
        <f t="shared" si="8"/>
        <v>13512.91399999997</v>
      </c>
      <c r="H77" s="273"/>
      <c r="I77" s="275">
        <f t="shared" si="5"/>
        <v>54742.247333333304</v>
      </c>
      <c r="J77" s="271">
        <f t="shared" si="15"/>
        <v>30</v>
      </c>
    </row>
    <row r="78" spans="1:12" s="271" customFormat="1">
      <c r="A78" s="271">
        <f t="shared" si="13"/>
        <v>52</v>
      </c>
      <c r="B78" s="272">
        <f t="shared" si="10"/>
        <v>46904</v>
      </c>
      <c r="C78" s="272">
        <f t="shared" si="14"/>
        <v>46934</v>
      </c>
      <c r="D78" s="355"/>
      <c r="E78" s="274">
        <f t="shared" si="11"/>
        <v>41229.333333333336</v>
      </c>
      <c r="F78" s="274">
        <f t="shared" si="12"/>
        <v>2308842.6666666614</v>
      </c>
      <c r="G78" s="273">
        <f t="shared" si="8"/>
        <v>13718.37351111108</v>
      </c>
      <c r="H78" s="273"/>
      <c r="I78" s="275">
        <f t="shared" si="5"/>
        <v>54947.706844444416</v>
      </c>
      <c r="J78" s="271">
        <f t="shared" si="15"/>
        <v>31</v>
      </c>
    </row>
    <row r="79" spans="1:12" s="271" customFormat="1">
      <c r="A79" s="271">
        <f t="shared" si="13"/>
        <v>53</v>
      </c>
      <c r="B79" s="272">
        <f t="shared" si="10"/>
        <v>46934</v>
      </c>
      <c r="C79" s="272">
        <f t="shared" si="14"/>
        <v>46965</v>
      </c>
      <c r="D79" s="355"/>
      <c r="E79" s="274">
        <f t="shared" si="11"/>
        <v>41229.333333333336</v>
      </c>
      <c r="F79" s="274">
        <f t="shared" si="12"/>
        <v>2267613.3333333279</v>
      </c>
      <c r="G79" s="273">
        <f t="shared" si="8"/>
        <v>13038.776666666634</v>
      </c>
      <c r="H79" s="273"/>
      <c r="I79" s="275">
        <f t="shared" si="5"/>
        <v>54268.109999999971</v>
      </c>
      <c r="J79" s="271">
        <f t="shared" si="15"/>
        <v>30</v>
      </c>
    </row>
    <row r="80" spans="1:12" s="271" customFormat="1">
      <c r="A80" s="271">
        <f t="shared" si="13"/>
        <v>54</v>
      </c>
      <c r="B80" s="272">
        <f t="shared" si="10"/>
        <v>46965</v>
      </c>
      <c r="C80" s="272">
        <f t="shared" si="14"/>
        <v>46996</v>
      </c>
      <c r="D80" s="355"/>
      <c r="E80" s="274">
        <f t="shared" si="11"/>
        <v>41229.333333333336</v>
      </c>
      <c r="F80" s="274">
        <f t="shared" si="12"/>
        <v>2226383.9999999944</v>
      </c>
      <c r="G80" s="273">
        <f t="shared" si="8"/>
        <v>13228.431599999964</v>
      </c>
      <c r="H80" s="273"/>
      <c r="I80" s="275">
        <f t="shared" si="5"/>
        <v>54457.764933333296</v>
      </c>
      <c r="J80" s="271">
        <f t="shared" si="15"/>
        <v>31</v>
      </c>
    </row>
    <row r="81" spans="1:12" s="271" customFormat="1">
      <c r="A81" s="271">
        <f t="shared" si="13"/>
        <v>55</v>
      </c>
      <c r="B81" s="272">
        <f t="shared" si="10"/>
        <v>46996</v>
      </c>
      <c r="C81" s="272">
        <f t="shared" si="14"/>
        <v>47026</v>
      </c>
      <c r="D81" s="355"/>
      <c r="E81" s="274">
        <f t="shared" si="11"/>
        <v>41229.333333333336</v>
      </c>
      <c r="F81" s="274">
        <f t="shared" si="12"/>
        <v>2185154.6666666609</v>
      </c>
      <c r="G81" s="273">
        <f t="shared" si="8"/>
        <v>12983.460644444409</v>
      </c>
      <c r="H81" s="273"/>
      <c r="I81" s="275">
        <f t="shared" ref="I81:I133" si="16">E81+G81</f>
        <v>54212.793977777743</v>
      </c>
      <c r="J81" s="271">
        <f t="shared" si="15"/>
        <v>31</v>
      </c>
    </row>
    <row r="82" spans="1:12" s="271" customFormat="1">
      <c r="A82" s="271">
        <f t="shared" si="13"/>
        <v>56</v>
      </c>
      <c r="B82" s="272">
        <f t="shared" si="10"/>
        <v>47026</v>
      </c>
      <c r="C82" s="272">
        <f t="shared" si="14"/>
        <v>47057</v>
      </c>
      <c r="D82" s="355"/>
      <c r="E82" s="274">
        <f t="shared" si="11"/>
        <v>41229.333333333336</v>
      </c>
      <c r="F82" s="274">
        <f t="shared" si="12"/>
        <v>2143925.3333333274</v>
      </c>
      <c r="G82" s="273">
        <f t="shared" si="8"/>
        <v>12327.570666666632</v>
      </c>
      <c r="H82" s="273"/>
      <c r="I82" s="275">
        <f t="shared" si="16"/>
        <v>53556.903999999966</v>
      </c>
      <c r="J82" s="271">
        <f t="shared" si="15"/>
        <v>30</v>
      </c>
    </row>
    <row r="83" spans="1:12" s="271" customFormat="1">
      <c r="A83" s="271">
        <f t="shared" si="13"/>
        <v>57</v>
      </c>
      <c r="B83" s="272">
        <f t="shared" si="10"/>
        <v>47057</v>
      </c>
      <c r="C83" s="272">
        <f t="shared" si="14"/>
        <v>47087</v>
      </c>
      <c r="D83" s="355"/>
      <c r="E83" s="274">
        <f t="shared" si="11"/>
        <v>41229.333333333336</v>
      </c>
      <c r="F83" s="274">
        <f t="shared" si="12"/>
        <v>2102695.9999999939</v>
      </c>
      <c r="G83" s="273">
        <f t="shared" si="8"/>
        <v>12493.518733333298</v>
      </c>
      <c r="H83" s="273"/>
      <c r="I83" s="275">
        <f t="shared" si="16"/>
        <v>53722.85206666663</v>
      </c>
      <c r="J83" s="271">
        <f t="shared" si="15"/>
        <v>31</v>
      </c>
    </row>
    <row r="84" spans="1:12" s="271" customFormat="1">
      <c r="A84" s="271">
        <f t="shared" si="13"/>
        <v>58</v>
      </c>
      <c r="B84" s="272">
        <f t="shared" si="10"/>
        <v>47087</v>
      </c>
      <c r="C84" s="272">
        <f t="shared" si="14"/>
        <v>47118</v>
      </c>
      <c r="D84" s="355"/>
      <c r="E84" s="274">
        <f t="shared" si="11"/>
        <v>41229.333333333336</v>
      </c>
      <c r="F84" s="274">
        <f t="shared" si="12"/>
        <v>2061466.6666666607</v>
      </c>
      <c r="G84" s="273">
        <f t="shared" si="8"/>
        <v>11853.433333333298</v>
      </c>
      <c r="H84" s="273"/>
      <c r="I84" s="275">
        <f t="shared" si="16"/>
        <v>53082.766666666634</v>
      </c>
      <c r="J84" s="271">
        <f t="shared" si="15"/>
        <v>30</v>
      </c>
    </row>
    <row r="85" spans="1:12" s="281" customFormat="1">
      <c r="A85" s="271">
        <f t="shared" si="13"/>
        <v>59</v>
      </c>
      <c r="B85" s="282">
        <f t="shared" si="10"/>
        <v>47118</v>
      </c>
      <c r="C85" s="282">
        <f t="shared" si="14"/>
        <v>47149</v>
      </c>
      <c r="D85" s="354"/>
      <c r="E85" s="283">
        <f t="shared" si="11"/>
        <v>41229.333333333336</v>
      </c>
      <c r="F85" s="283">
        <f t="shared" si="12"/>
        <v>2020237.3333333274</v>
      </c>
      <c r="G85" s="285">
        <f t="shared" si="8"/>
        <v>12003.576822222187</v>
      </c>
      <c r="H85" s="285"/>
      <c r="I85" s="284">
        <f t="shared" si="16"/>
        <v>53232.910155555524</v>
      </c>
      <c r="J85" s="281">
        <f t="shared" si="15"/>
        <v>31</v>
      </c>
      <c r="K85" s="286">
        <f>SUM(E74:E85)</f>
        <v>494751.99999999994</v>
      </c>
      <c r="L85" s="286">
        <f>SUM(G74:G85)</f>
        <v>157587.4450222218</v>
      </c>
    </row>
    <row r="86" spans="1:12" s="271" customFormat="1">
      <c r="A86" s="271">
        <f t="shared" si="13"/>
        <v>60</v>
      </c>
      <c r="B86" s="272">
        <f t="shared" si="10"/>
        <v>47149</v>
      </c>
      <c r="C86" s="272">
        <f t="shared" si="14"/>
        <v>47177</v>
      </c>
      <c r="D86" s="355"/>
      <c r="E86" s="274">
        <f t="shared" si="11"/>
        <v>41229.333333333336</v>
      </c>
      <c r="F86" s="274">
        <f t="shared" si="12"/>
        <v>1979007.9999999942</v>
      </c>
      <c r="G86" s="273">
        <f t="shared" si="8"/>
        <v>11758.60586666663</v>
      </c>
      <c r="H86" s="273"/>
      <c r="I86" s="275">
        <f t="shared" si="16"/>
        <v>52987.939199999964</v>
      </c>
      <c r="J86" s="271">
        <f t="shared" si="15"/>
        <v>31</v>
      </c>
    </row>
    <row r="87" spans="1:12" s="271" customFormat="1">
      <c r="A87" s="271">
        <f t="shared" si="13"/>
        <v>61</v>
      </c>
      <c r="B87" s="272">
        <f t="shared" si="10"/>
        <v>47177</v>
      </c>
      <c r="C87" s="272">
        <f t="shared" si="14"/>
        <v>47208</v>
      </c>
      <c r="D87" s="355"/>
      <c r="E87" s="274">
        <f t="shared" si="11"/>
        <v>41229.333333333336</v>
      </c>
      <c r="F87" s="274">
        <f t="shared" si="12"/>
        <v>1937778.6666666609</v>
      </c>
      <c r="G87" s="273">
        <f t="shared" si="8"/>
        <v>10399.412177777745</v>
      </c>
      <c r="H87" s="273"/>
      <c r="I87" s="275">
        <f t="shared" si="16"/>
        <v>51628.745511111083</v>
      </c>
      <c r="J87" s="271">
        <f t="shared" si="15"/>
        <v>28</v>
      </c>
    </row>
    <row r="88" spans="1:12" s="271" customFormat="1">
      <c r="A88" s="271">
        <f t="shared" si="13"/>
        <v>62</v>
      </c>
      <c r="B88" s="272">
        <f t="shared" si="10"/>
        <v>47208</v>
      </c>
      <c r="C88" s="272">
        <f t="shared" si="14"/>
        <v>47238</v>
      </c>
      <c r="D88" s="355"/>
      <c r="E88" s="274">
        <f t="shared" si="11"/>
        <v>41229.333333333336</v>
      </c>
      <c r="F88" s="274">
        <f t="shared" si="12"/>
        <v>1896549.3333333277</v>
      </c>
      <c r="G88" s="273">
        <f t="shared" ref="G88:G133" si="17">J88*$E$8*F88/360</f>
        <v>11268.663955555521</v>
      </c>
      <c r="H88" s="273"/>
      <c r="I88" s="275">
        <f t="shared" si="16"/>
        <v>52497.997288888859</v>
      </c>
      <c r="J88" s="271">
        <f t="shared" si="15"/>
        <v>31</v>
      </c>
    </row>
    <row r="89" spans="1:12" s="271" customFormat="1">
      <c r="A89" s="271">
        <f t="shared" si="13"/>
        <v>63</v>
      </c>
      <c r="B89" s="272">
        <f t="shared" si="10"/>
        <v>47238</v>
      </c>
      <c r="C89" s="272">
        <f t="shared" si="14"/>
        <v>47269</v>
      </c>
      <c r="D89" s="355"/>
      <c r="E89" s="274">
        <f t="shared" si="11"/>
        <v>41229.333333333336</v>
      </c>
      <c r="F89" s="274">
        <f t="shared" si="12"/>
        <v>1855319.9999999944</v>
      </c>
      <c r="G89" s="273">
        <f t="shared" si="17"/>
        <v>10668.089999999967</v>
      </c>
      <c r="H89" s="273"/>
      <c r="I89" s="275">
        <f t="shared" si="16"/>
        <v>51897.423333333303</v>
      </c>
      <c r="J89" s="271">
        <f t="shared" si="15"/>
        <v>30</v>
      </c>
    </row>
    <row r="90" spans="1:12" s="271" customFormat="1">
      <c r="A90" s="271">
        <f t="shared" si="13"/>
        <v>64</v>
      </c>
      <c r="B90" s="272">
        <f t="shared" si="10"/>
        <v>47269</v>
      </c>
      <c r="C90" s="272">
        <f t="shared" si="14"/>
        <v>47299</v>
      </c>
      <c r="D90" s="355"/>
      <c r="E90" s="274">
        <f t="shared" si="11"/>
        <v>41229.333333333336</v>
      </c>
      <c r="F90" s="274">
        <f t="shared" si="12"/>
        <v>1814090.6666666612</v>
      </c>
      <c r="G90" s="273">
        <f t="shared" si="17"/>
        <v>10778.72204444441</v>
      </c>
      <c r="H90" s="273"/>
      <c r="I90" s="275">
        <f t="shared" si="16"/>
        <v>52008.055377777746</v>
      </c>
      <c r="J90" s="271">
        <f t="shared" si="15"/>
        <v>31</v>
      </c>
    </row>
    <row r="91" spans="1:12" s="271" customFormat="1">
      <c r="A91" s="271">
        <f t="shared" si="13"/>
        <v>65</v>
      </c>
      <c r="B91" s="272">
        <f t="shared" ref="B91:B133" si="18">EOMONTH(B90,1)</f>
        <v>47299</v>
      </c>
      <c r="C91" s="272">
        <f t="shared" si="14"/>
        <v>47330</v>
      </c>
      <c r="D91" s="355"/>
      <c r="E91" s="274">
        <f t="shared" si="11"/>
        <v>41229.333333333336</v>
      </c>
      <c r="F91" s="274">
        <f t="shared" si="12"/>
        <v>1772861.3333333279</v>
      </c>
      <c r="G91" s="273">
        <f t="shared" si="17"/>
        <v>10193.952666666633</v>
      </c>
      <c r="H91" s="273"/>
      <c r="I91" s="275">
        <f t="shared" si="16"/>
        <v>51423.285999999971</v>
      </c>
      <c r="J91" s="271">
        <f t="shared" si="15"/>
        <v>30</v>
      </c>
    </row>
    <row r="92" spans="1:12" s="271" customFormat="1">
      <c r="A92" s="271">
        <f t="shared" si="13"/>
        <v>66</v>
      </c>
      <c r="B92" s="272">
        <f t="shared" si="18"/>
        <v>47330</v>
      </c>
      <c r="C92" s="272">
        <f t="shared" si="14"/>
        <v>47361</v>
      </c>
      <c r="D92" s="355"/>
      <c r="E92" s="274">
        <f t="shared" ref="E92:E133" si="19">E91</f>
        <v>41229.333333333336</v>
      </c>
      <c r="F92" s="274">
        <f t="shared" ref="F92:F133" si="20">F91-E92</f>
        <v>1731631.9999999946</v>
      </c>
      <c r="G92" s="273">
        <f t="shared" si="17"/>
        <v>10288.780133333301</v>
      </c>
      <c r="H92" s="273"/>
      <c r="I92" s="275">
        <f t="shared" si="16"/>
        <v>51518.113466666633</v>
      </c>
      <c r="J92" s="271">
        <f t="shared" si="15"/>
        <v>31</v>
      </c>
    </row>
    <row r="93" spans="1:12" s="271" customFormat="1">
      <c r="A93" s="271">
        <f t="shared" ref="A93:A133" si="21">A92+1</f>
        <v>67</v>
      </c>
      <c r="B93" s="272">
        <f t="shared" si="18"/>
        <v>47361</v>
      </c>
      <c r="C93" s="272">
        <f t="shared" ref="C93:C132" si="22">B94</f>
        <v>47391</v>
      </c>
      <c r="D93" s="355"/>
      <c r="E93" s="274">
        <f t="shared" si="19"/>
        <v>41229.333333333336</v>
      </c>
      <c r="F93" s="274">
        <f t="shared" si="20"/>
        <v>1690402.6666666614</v>
      </c>
      <c r="G93" s="273">
        <f t="shared" si="17"/>
        <v>10043.809177777746</v>
      </c>
      <c r="H93" s="273"/>
      <c r="I93" s="275">
        <f t="shared" si="16"/>
        <v>51273.14251111108</v>
      </c>
      <c r="J93" s="271">
        <f t="shared" ref="J93:J133" si="23">(B93-B92)</f>
        <v>31</v>
      </c>
    </row>
    <row r="94" spans="1:12" s="271" customFormat="1">
      <c r="A94" s="271">
        <f t="shared" si="21"/>
        <v>68</v>
      </c>
      <c r="B94" s="272">
        <f t="shared" si="18"/>
        <v>47391</v>
      </c>
      <c r="C94" s="272">
        <f t="shared" si="22"/>
        <v>47422</v>
      </c>
      <c r="D94" s="355"/>
      <c r="E94" s="274">
        <f t="shared" si="19"/>
        <v>41229.333333333336</v>
      </c>
      <c r="F94" s="274">
        <f t="shared" si="20"/>
        <v>1649173.3333333281</v>
      </c>
      <c r="G94" s="273">
        <f t="shared" si="17"/>
        <v>9482.7466666666369</v>
      </c>
      <c r="H94" s="273"/>
      <c r="I94" s="275">
        <f t="shared" si="16"/>
        <v>50712.079999999973</v>
      </c>
      <c r="J94" s="271">
        <f t="shared" si="23"/>
        <v>30</v>
      </c>
    </row>
    <row r="95" spans="1:12" s="271" customFormat="1">
      <c r="A95" s="271">
        <f t="shared" si="21"/>
        <v>69</v>
      </c>
      <c r="B95" s="272">
        <f t="shared" si="18"/>
        <v>47422</v>
      </c>
      <c r="C95" s="272">
        <f t="shared" si="22"/>
        <v>47452</v>
      </c>
      <c r="D95" s="355"/>
      <c r="E95" s="274">
        <f t="shared" si="19"/>
        <v>41229.333333333336</v>
      </c>
      <c r="F95" s="274">
        <f t="shared" si="20"/>
        <v>1607943.9999999949</v>
      </c>
      <c r="G95" s="273">
        <f t="shared" si="17"/>
        <v>9553.8672666666353</v>
      </c>
      <c r="H95" s="273"/>
      <c r="I95" s="275">
        <f t="shared" si="16"/>
        <v>50783.200599999967</v>
      </c>
      <c r="J95" s="271">
        <f t="shared" si="23"/>
        <v>31</v>
      </c>
    </row>
    <row r="96" spans="1:12" s="271" customFormat="1">
      <c r="A96" s="271">
        <f t="shared" si="21"/>
        <v>70</v>
      </c>
      <c r="B96" s="272">
        <f t="shared" si="18"/>
        <v>47452</v>
      </c>
      <c r="C96" s="272">
        <f t="shared" si="22"/>
        <v>47483</v>
      </c>
      <c r="D96" s="355"/>
      <c r="E96" s="274">
        <f t="shared" si="19"/>
        <v>41229.333333333336</v>
      </c>
      <c r="F96" s="274">
        <f t="shared" si="20"/>
        <v>1566714.6666666616</v>
      </c>
      <c r="G96" s="273">
        <f t="shared" si="17"/>
        <v>9008.6093333333029</v>
      </c>
      <c r="H96" s="273"/>
      <c r="I96" s="275">
        <f t="shared" si="16"/>
        <v>50237.94266666664</v>
      </c>
      <c r="J96" s="271">
        <f t="shared" si="23"/>
        <v>30</v>
      </c>
    </row>
    <row r="97" spans="1:12" s="281" customFormat="1">
      <c r="A97" s="271">
        <f t="shared" si="21"/>
        <v>71</v>
      </c>
      <c r="B97" s="282">
        <f t="shared" si="18"/>
        <v>47483</v>
      </c>
      <c r="C97" s="282">
        <f t="shared" si="22"/>
        <v>47514</v>
      </c>
      <c r="D97" s="354"/>
      <c r="E97" s="283">
        <f t="shared" si="19"/>
        <v>41229.333333333336</v>
      </c>
      <c r="F97" s="283">
        <f t="shared" si="20"/>
        <v>1525485.3333333284</v>
      </c>
      <c r="G97" s="285">
        <f t="shared" si="17"/>
        <v>9063.9253555555242</v>
      </c>
      <c r="H97" s="285"/>
      <c r="I97" s="284">
        <f t="shared" si="16"/>
        <v>50293.258688888862</v>
      </c>
      <c r="J97" s="281">
        <f t="shared" si="23"/>
        <v>31</v>
      </c>
      <c r="K97" s="286">
        <f>SUM(E86:E97)</f>
        <v>494751.99999999994</v>
      </c>
      <c r="L97" s="286">
        <f>SUM(G86:G97)</f>
        <v>122509.18464444406</v>
      </c>
    </row>
    <row r="98" spans="1:12" s="271" customFormat="1">
      <c r="A98" s="271">
        <f t="shared" si="21"/>
        <v>72</v>
      </c>
      <c r="B98" s="272">
        <f t="shared" si="18"/>
        <v>47514</v>
      </c>
      <c r="C98" s="272">
        <f t="shared" si="22"/>
        <v>47542</v>
      </c>
      <c r="D98" s="355"/>
      <c r="E98" s="274">
        <f t="shared" si="19"/>
        <v>41229.333333333336</v>
      </c>
      <c r="F98" s="274">
        <f t="shared" si="20"/>
        <v>1484255.9999999951</v>
      </c>
      <c r="G98" s="273">
        <f t="shared" si="17"/>
        <v>8818.9543999999696</v>
      </c>
      <c r="H98" s="273"/>
      <c r="I98" s="275">
        <f t="shared" si="16"/>
        <v>50048.287733333302</v>
      </c>
      <c r="J98" s="271">
        <f t="shared" si="23"/>
        <v>31</v>
      </c>
    </row>
    <row r="99" spans="1:12" s="271" customFormat="1">
      <c r="A99" s="271">
        <f t="shared" si="21"/>
        <v>73</v>
      </c>
      <c r="B99" s="272">
        <f t="shared" si="18"/>
        <v>47542</v>
      </c>
      <c r="C99" s="272">
        <f t="shared" si="22"/>
        <v>47573</v>
      </c>
      <c r="D99" s="355"/>
      <c r="E99" s="274">
        <f t="shared" si="19"/>
        <v>41229.333333333336</v>
      </c>
      <c r="F99" s="274">
        <f t="shared" si="20"/>
        <v>1443026.6666666619</v>
      </c>
      <c r="G99" s="273">
        <f t="shared" si="17"/>
        <v>7744.2431111110836</v>
      </c>
      <c r="H99" s="273"/>
      <c r="I99" s="275">
        <f t="shared" si="16"/>
        <v>48973.576444444421</v>
      </c>
      <c r="J99" s="271">
        <f t="shared" si="23"/>
        <v>28</v>
      </c>
    </row>
    <row r="100" spans="1:12" s="271" customFormat="1">
      <c r="A100" s="271">
        <f t="shared" si="21"/>
        <v>74</v>
      </c>
      <c r="B100" s="272">
        <f t="shared" si="18"/>
        <v>47573</v>
      </c>
      <c r="C100" s="272">
        <f t="shared" si="22"/>
        <v>47603</v>
      </c>
      <c r="D100" s="355"/>
      <c r="E100" s="274">
        <f t="shared" si="19"/>
        <v>41229.333333333336</v>
      </c>
      <c r="F100" s="274">
        <f t="shared" si="20"/>
        <v>1401797.3333333286</v>
      </c>
      <c r="G100" s="273">
        <f t="shared" si="17"/>
        <v>8329.0124888888604</v>
      </c>
      <c r="H100" s="273"/>
      <c r="I100" s="275">
        <f t="shared" si="16"/>
        <v>49558.345822222196</v>
      </c>
      <c r="J100" s="271">
        <f t="shared" si="23"/>
        <v>31</v>
      </c>
    </row>
    <row r="101" spans="1:12" s="271" customFormat="1">
      <c r="A101" s="271">
        <f t="shared" si="21"/>
        <v>75</v>
      </c>
      <c r="B101" s="272">
        <f t="shared" si="18"/>
        <v>47603</v>
      </c>
      <c r="C101" s="272">
        <f t="shared" si="22"/>
        <v>47634</v>
      </c>
      <c r="D101" s="355"/>
      <c r="E101" s="274">
        <f t="shared" si="19"/>
        <v>41229.333333333336</v>
      </c>
      <c r="F101" s="274">
        <f t="shared" si="20"/>
        <v>1360567.9999999953</v>
      </c>
      <c r="G101" s="273">
        <f t="shared" si="17"/>
        <v>7823.2659999999723</v>
      </c>
      <c r="H101" s="273"/>
      <c r="I101" s="275">
        <f t="shared" si="16"/>
        <v>49052.59933333331</v>
      </c>
      <c r="J101" s="271">
        <f t="shared" si="23"/>
        <v>30</v>
      </c>
    </row>
    <row r="102" spans="1:12" s="271" customFormat="1">
      <c r="A102" s="271">
        <f t="shared" si="21"/>
        <v>76</v>
      </c>
      <c r="B102" s="272">
        <f t="shared" si="18"/>
        <v>47634</v>
      </c>
      <c r="C102" s="272">
        <f t="shared" si="22"/>
        <v>47664</v>
      </c>
      <c r="D102" s="355"/>
      <c r="E102" s="274">
        <f t="shared" si="19"/>
        <v>41229.333333333336</v>
      </c>
      <c r="F102" s="274">
        <f t="shared" si="20"/>
        <v>1319338.6666666621</v>
      </c>
      <c r="G102" s="273">
        <f t="shared" si="17"/>
        <v>7839.0705777777503</v>
      </c>
      <c r="H102" s="273"/>
      <c r="I102" s="275">
        <f t="shared" si="16"/>
        <v>49068.403911111083</v>
      </c>
      <c r="J102" s="271">
        <f t="shared" si="23"/>
        <v>31</v>
      </c>
    </row>
    <row r="103" spans="1:12" s="271" customFormat="1">
      <c r="A103" s="271">
        <f t="shared" si="21"/>
        <v>77</v>
      </c>
      <c r="B103" s="272">
        <f t="shared" si="18"/>
        <v>47664</v>
      </c>
      <c r="C103" s="272">
        <f t="shared" si="22"/>
        <v>47695</v>
      </c>
      <c r="D103" s="355"/>
      <c r="E103" s="274">
        <f t="shared" si="19"/>
        <v>41229.333333333336</v>
      </c>
      <c r="F103" s="274">
        <f t="shared" si="20"/>
        <v>1278109.3333333288</v>
      </c>
      <c r="G103" s="273">
        <f t="shared" si="17"/>
        <v>7349.1286666666401</v>
      </c>
      <c r="H103" s="273"/>
      <c r="I103" s="275">
        <f t="shared" si="16"/>
        <v>48578.461999999978</v>
      </c>
      <c r="J103" s="271">
        <f t="shared" si="23"/>
        <v>30</v>
      </c>
    </row>
    <row r="104" spans="1:12" s="271" customFormat="1">
      <c r="A104" s="271">
        <f t="shared" si="21"/>
        <v>78</v>
      </c>
      <c r="B104" s="272">
        <f t="shared" si="18"/>
        <v>47695</v>
      </c>
      <c r="C104" s="272">
        <f t="shared" si="22"/>
        <v>47726</v>
      </c>
      <c r="D104" s="355"/>
      <c r="E104" s="274">
        <f t="shared" si="19"/>
        <v>41229.333333333336</v>
      </c>
      <c r="F104" s="274">
        <f t="shared" si="20"/>
        <v>1236879.9999999956</v>
      </c>
      <c r="G104" s="273">
        <f t="shared" si="17"/>
        <v>7349.1286666666392</v>
      </c>
      <c r="H104" s="273"/>
      <c r="I104" s="275">
        <f t="shared" si="16"/>
        <v>48578.461999999978</v>
      </c>
      <c r="J104" s="271">
        <f t="shared" si="23"/>
        <v>31</v>
      </c>
    </row>
    <row r="105" spans="1:12" s="271" customFormat="1">
      <c r="A105" s="271">
        <f t="shared" si="21"/>
        <v>79</v>
      </c>
      <c r="B105" s="272">
        <f t="shared" si="18"/>
        <v>47726</v>
      </c>
      <c r="C105" s="272">
        <f t="shared" si="22"/>
        <v>47756</v>
      </c>
      <c r="D105" s="355"/>
      <c r="E105" s="274">
        <f t="shared" si="19"/>
        <v>41229.333333333336</v>
      </c>
      <c r="F105" s="274">
        <f t="shared" si="20"/>
        <v>1195650.6666666623</v>
      </c>
      <c r="G105" s="273">
        <f t="shared" si="17"/>
        <v>7104.1577111110837</v>
      </c>
      <c r="H105" s="273"/>
      <c r="I105" s="275">
        <f t="shared" si="16"/>
        <v>48333.491044444418</v>
      </c>
      <c r="J105" s="271">
        <f t="shared" si="23"/>
        <v>31</v>
      </c>
    </row>
    <row r="106" spans="1:12" s="271" customFormat="1">
      <c r="A106" s="271">
        <f t="shared" si="21"/>
        <v>80</v>
      </c>
      <c r="B106" s="272">
        <f t="shared" si="18"/>
        <v>47756</v>
      </c>
      <c r="C106" s="272">
        <f t="shared" si="22"/>
        <v>47787</v>
      </c>
      <c r="D106" s="355"/>
      <c r="E106" s="274">
        <f t="shared" si="19"/>
        <v>41229.333333333336</v>
      </c>
      <c r="F106" s="274">
        <f t="shared" si="20"/>
        <v>1154421.3333333291</v>
      </c>
      <c r="G106" s="273">
        <f t="shared" si="17"/>
        <v>6637.9226666666409</v>
      </c>
      <c r="H106" s="273"/>
      <c r="I106" s="275">
        <f t="shared" si="16"/>
        <v>47867.255999999979</v>
      </c>
      <c r="J106" s="271">
        <f t="shared" si="23"/>
        <v>30</v>
      </c>
    </row>
    <row r="107" spans="1:12" s="271" customFormat="1">
      <c r="A107" s="271">
        <f t="shared" si="21"/>
        <v>81</v>
      </c>
      <c r="B107" s="272">
        <f t="shared" si="18"/>
        <v>47787</v>
      </c>
      <c r="C107" s="272">
        <f t="shared" si="22"/>
        <v>47817</v>
      </c>
      <c r="D107" s="355"/>
      <c r="E107" s="274">
        <f t="shared" si="19"/>
        <v>41229.333333333336</v>
      </c>
      <c r="F107" s="274">
        <f t="shared" si="20"/>
        <v>1113191.9999999958</v>
      </c>
      <c r="G107" s="273">
        <f t="shared" si="17"/>
        <v>6614.2157999999745</v>
      </c>
      <c r="H107" s="273"/>
      <c r="I107" s="275">
        <f t="shared" si="16"/>
        <v>47843.549133333312</v>
      </c>
      <c r="J107" s="271">
        <f t="shared" si="23"/>
        <v>31</v>
      </c>
    </row>
    <row r="108" spans="1:12" s="271" customFormat="1">
      <c r="A108" s="271">
        <f t="shared" si="21"/>
        <v>82</v>
      </c>
      <c r="B108" s="272">
        <f t="shared" si="18"/>
        <v>47817</v>
      </c>
      <c r="C108" s="272">
        <f t="shared" si="22"/>
        <v>47848</v>
      </c>
      <c r="D108" s="355"/>
      <c r="E108" s="274">
        <f t="shared" si="19"/>
        <v>41229.333333333336</v>
      </c>
      <c r="F108" s="274">
        <f t="shared" si="20"/>
        <v>1071962.6666666626</v>
      </c>
      <c r="G108" s="273">
        <f t="shared" si="17"/>
        <v>6163.7853333333096</v>
      </c>
      <c r="H108" s="273"/>
      <c r="I108" s="275">
        <f t="shared" si="16"/>
        <v>47393.118666666647</v>
      </c>
      <c r="J108" s="271">
        <f t="shared" si="23"/>
        <v>30</v>
      </c>
    </row>
    <row r="109" spans="1:12" s="281" customFormat="1">
      <c r="A109" s="271">
        <f t="shared" si="21"/>
        <v>83</v>
      </c>
      <c r="B109" s="282">
        <f t="shared" si="18"/>
        <v>47848</v>
      </c>
      <c r="C109" s="282">
        <f t="shared" si="22"/>
        <v>47879</v>
      </c>
      <c r="D109" s="354"/>
      <c r="E109" s="283">
        <f t="shared" si="19"/>
        <v>41229.333333333336</v>
      </c>
      <c r="F109" s="283">
        <f t="shared" si="20"/>
        <v>1030733.3333333292</v>
      </c>
      <c r="G109" s="285">
        <f t="shared" si="17"/>
        <v>6124.2738888888634</v>
      </c>
      <c r="H109" s="285"/>
      <c r="I109" s="284">
        <f t="shared" si="16"/>
        <v>47353.607222222199</v>
      </c>
      <c r="J109" s="281">
        <f t="shared" si="23"/>
        <v>31</v>
      </c>
      <c r="K109" s="286">
        <f>SUM(E98:E109)</f>
        <v>494751.99999999994</v>
      </c>
      <c r="L109" s="286">
        <f>SUM(G98:G109)</f>
        <v>87897.159311110794</v>
      </c>
    </row>
    <row r="110" spans="1:12" s="271" customFormat="1">
      <c r="A110" s="271">
        <f t="shared" si="21"/>
        <v>84</v>
      </c>
      <c r="B110" s="272">
        <f t="shared" si="18"/>
        <v>47879</v>
      </c>
      <c r="C110" s="272">
        <f t="shared" si="22"/>
        <v>47907</v>
      </c>
      <c r="D110" s="355"/>
      <c r="E110" s="274">
        <f t="shared" si="19"/>
        <v>41229.333333333336</v>
      </c>
      <c r="F110" s="274">
        <f t="shared" si="20"/>
        <v>989503.99999999581</v>
      </c>
      <c r="G110" s="273">
        <f t="shared" si="17"/>
        <v>5879.3029333333088</v>
      </c>
      <c r="H110" s="273"/>
      <c r="I110" s="275">
        <f t="shared" si="16"/>
        <v>47108.636266666646</v>
      </c>
      <c r="J110" s="271">
        <f t="shared" si="23"/>
        <v>31</v>
      </c>
    </row>
    <row r="111" spans="1:12" s="271" customFormat="1">
      <c r="A111" s="271">
        <f t="shared" si="21"/>
        <v>85</v>
      </c>
      <c r="B111" s="272">
        <f t="shared" si="18"/>
        <v>47907</v>
      </c>
      <c r="C111" s="272">
        <f t="shared" si="22"/>
        <v>47938</v>
      </c>
      <c r="D111" s="355"/>
      <c r="E111" s="274">
        <f t="shared" si="19"/>
        <v>41229.333333333336</v>
      </c>
      <c r="F111" s="274">
        <f t="shared" si="20"/>
        <v>948274.66666666244</v>
      </c>
      <c r="G111" s="273">
        <f t="shared" si="17"/>
        <v>5089.0740444444209</v>
      </c>
      <c r="H111" s="273"/>
      <c r="I111" s="275">
        <f t="shared" si="16"/>
        <v>46318.407377777759</v>
      </c>
      <c r="J111" s="271">
        <f t="shared" si="23"/>
        <v>28</v>
      </c>
    </row>
    <row r="112" spans="1:12" s="271" customFormat="1">
      <c r="A112" s="271">
        <f t="shared" si="21"/>
        <v>86</v>
      </c>
      <c r="B112" s="272">
        <f t="shared" si="18"/>
        <v>47938</v>
      </c>
      <c r="C112" s="272">
        <f t="shared" si="22"/>
        <v>47968</v>
      </c>
      <c r="D112" s="355"/>
      <c r="E112" s="274">
        <f t="shared" si="19"/>
        <v>41229.333333333336</v>
      </c>
      <c r="F112" s="274">
        <f t="shared" si="20"/>
        <v>907045.33333332906</v>
      </c>
      <c r="G112" s="273">
        <f t="shared" si="17"/>
        <v>5389.361022222196</v>
      </c>
      <c r="H112" s="273"/>
      <c r="I112" s="275">
        <f t="shared" si="16"/>
        <v>46618.694355555534</v>
      </c>
      <c r="J112" s="271">
        <f t="shared" si="23"/>
        <v>31</v>
      </c>
    </row>
    <row r="113" spans="1:12" s="271" customFormat="1">
      <c r="A113" s="271">
        <f t="shared" si="21"/>
        <v>87</v>
      </c>
      <c r="B113" s="272">
        <f t="shared" si="18"/>
        <v>47968</v>
      </c>
      <c r="C113" s="272">
        <f t="shared" si="22"/>
        <v>47999</v>
      </c>
      <c r="D113" s="355"/>
      <c r="E113" s="274">
        <f t="shared" si="19"/>
        <v>41229.333333333336</v>
      </c>
      <c r="F113" s="274">
        <f t="shared" si="20"/>
        <v>865815.99999999569</v>
      </c>
      <c r="G113" s="273">
        <f t="shared" si="17"/>
        <v>4978.4419999999755</v>
      </c>
      <c r="H113" s="273"/>
      <c r="I113" s="275">
        <f t="shared" si="16"/>
        <v>46207.775333333309</v>
      </c>
      <c r="J113" s="271">
        <f t="shared" si="23"/>
        <v>30</v>
      </c>
    </row>
    <row r="114" spans="1:12" s="271" customFormat="1">
      <c r="A114" s="271">
        <f t="shared" si="21"/>
        <v>88</v>
      </c>
      <c r="B114" s="272">
        <f t="shared" si="18"/>
        <v>47999</v>
      </c>
      <c r="C114" s="272">
        <f t="shared" si="22"/>
        <v>48029</v>
      </c>
      <c r="D114" s="355"/>
      <c r="E114" s="274">
        <f t="shared" si="19"/>
        <v>41229.333333333336</v>
      </c>
      <c r="F114" s="274">
        <f t="shared" si="20"/>
        <v>824586.66666666232</v>
      </c>
      <c r="G114" s="273">
        <f t="shared" si="17"/>
        <v>4899.4191111110849</v>
      </c>
      <c r="H114" s="273"/>
      <c r="I114" s="275">
        <f t="shared" si="16"/>
        <v>46128.752444444421</v>
      </c>
      <c r="J114" s="271">
        <f t="shared" si="23"/>
        <v>31</v>
      </c>
    </row>
    <row r="115" spans="1:12" s="271" customFormat="1">
      <c r="A115" s="271">
        <f t="shared" si="21"/>
        <v>89</v>
      </c>
      <c r="B115" s="272">
        <f t="shared" si="18"/>
        <v>48029</v>
      </c>
      <c r="C115" s="272">
        <f t="shared" si="22"/>
        <v>48060</v>
      </c>
      <c r="D115" s="355"/>
      <c r="E115" s="274">
        <f t="shared" si="19"/>
        <v>41229.333333333336</v>
      </c>
      <c r="F115" s="274">
        <f t="shared" si="20"/>
        <v>783357.33333332895</v>
      </c>
      <c r="G115" s="273">
        <f t="shared" si="17"/>
        <v>4504.3046666666414</v>
      </c>
      <c r="H115" s="273"/>
      <c r="I115" s="275">
        <f t="shared" si="16"/>
        <v>45733.637999999977</v>
      </c>
      <c r="J115" s="271">
        <f t="shared" si="23"/>
        <v>30</v>
      </c>
    </row>
    <row r="116" spans="1:12" s="271" customFormat="1">
      <c r="A116" s="271">
        <f t="shared" si="21"/>
        <v>90</v>
      </c>
      <c r="B116" s="272">
        <f t="shared" si="18"/>
        <v>48060</v>
      </c>
      <c r="C116" s="272">
        <f t="shared" si="22"/>
        <v>48091</v>
      </c>
      <c r="D116" s="355"/>
      <c r="E116" s="274">
        <f t="shared" si="19"/>
        <v>41229.333333333336</v>
      </c>
      <c r="F116" s="274">
        <f t="shared" si="20"/>
        <v>742127.99999999558</v>
      </c>
      <c r="G116" s="273">
        <f t="shared" si="17"/>
        <v>4409.477199999973</v>
      </c>
      <c r="H116" s="273"/>
      <c r="I116" s="275">
        <f t="shared" si="16"/>
        <v>45638.810533333308</v>
      </c>
      <c r="J116" s="271">
        <f t="shared" si="23"/>
        <v>31</v>
      </c>
    </row>
    <row r="117" spans="1:12" s="271" customFormat="1">
      <c r="A117" s="271">
        <f t="shared" si="21"/>
        <v>91</v>
      </c>
      <c r="B117" s="272">
        <f t="shared" si="18"/>
        <v>48091</v>
      </c>
      <c r="C117" s="272">
        <f t="shared" si="22"/>
        <v>48121</v>
      </c>
      <c r="D117" s="355"/>
      <c r="E117" s="274">
        <f t="shared" si="19"/>
        <v>41229.333333333336</v>
      </c>
      <c r="F117" s="274">
        <f t="shared" si="20"/>
        <v>700898.6666666622</v>
      </c>
      <c r="G117" s="273">
        <f t="shared" si="17"/>
        <v>4164.5062444444175</v>
      </c>
      <c r="H117" s="273"/>
      <c r="I117" s="275">
        <f t="shared" si="16"/>
        <v>45393.839577777755</v>
      </c>
      <c r="J117" s="271">
        <f t="shared" si="23"/>
        <v>31</v>
      </c>
    </row>
    <row r="118" spans="1:12" s="271" customFormat="1">
      <c r="A118" s="271">
        <f t="shared" si="21"/>
        <v>92</v>
      </c>
      <c r="B118" s="272">
        <f t="shared" si="18"/>
        <v>48121</v>
      </c>
      <c r="C118" s="272">
        <f t="shared" si="22"/>
        <v>48152</v>
      </c>
      <c r="D118" s="355"/>
      <c r="E118" s="274">
        <f t="shared" si="19"/>
        <v>41229.333333333336</v>
      </c>
      <c r="F118" s="274">
        <f t="shared" si="20"/>
        <v>659669.33333332883</v>
      </c>
      <c r="G118" s="273">
        <f t="shared" si="17"/>
        <v>3793.0986666666404</v>
      </c>
      <c r="H118" s="273"/>
      <c r="I118" s="275">
        <f t="shared" si="16"/>
        <v>45022.431999999979</v>
      </c>
      <c r="J118" s="271">
        <f t="shared" si="23"/>
        <v>30</v>
      </c>
    </row>
    <row r="119" spans="1:12" s="271" customFormat="1">
      <c r="A119" s="271">
        <f t="shared" si="21"/>
        <v>93</v>
      </c>
      <c r="B119" s="272">
        <f t="shared" si="18"/>
        <v>48152</v>
      </c>
      <c r="C119" s="272">
        <f t="shared" si="22"/>
        <v>48182</v>
      </c>
      <c r="D119" s="355"/>
      <c r="E119" s="274">
        <f t="shared" si="19"/>
        <v>41229.333333333336</v>
      </c>
      <c r="F119" s="274">
        <f t="shared" si="20"/>
        <v>618439.99999999546</v>
      </c>
      <c r="G119" s="273">
        <f t="shared" si="17"/>
        <v>3674.564333333306</v>
      </c>
      <c r="H119" s="273"/>
      <c r="I119" s="275">
        <f t="shared" si="16"/>
        <v>44903.897666666642</v>
      </c>
      <c r="J119" s="271">
        <f t="shared" si="23"/>
        <v>31</v>
      </c>
    </row>
    <row r="120" spans="1:12" s="271" customFormat="1">
      <c r="A120" s="271">
        <f t="shared" si="21"/>
        <v>94</v>
      </c>
      <c r="B120" s="272">
        <f t="shared" si="18"/>
        <v>48182</v>
      </c>
      <c r="C120" s="272">
        <f t="shared" si="22"/>
        <v>48213</v>
      </c>
      <c r="D120" s="355"/>
      <c r="E120" s="274">
        <f t="shared" si="19"/>
        <v>41229.333333333336</v>
      </c>
      <c r="F120" s="274">
        <f t="shared" si="20"/>
        <v>577210.66666666209</v>
      </c>
      <c r="G120" s="273">
        <f t="shared" si="17"/>
        <v>3318.9613333333068</v>
      </c>
      <c r="H120" s="273"/>
      <c r="I120" s="275">
        <f t="shared" si="16"/>
        <v>44548.294666666639</v>
      </c>
      <c r="J120" s="271">
        <f t="shared" si="23"/>
        <v>30</v>
      </c>
    </row>
    <row r="121" spans="1:12" s="281" customFormat="1">
      <c r="A121" s="271">
        <f t="shared" si="21"/>
        <v>95</v>
      </c>
      <c r="B121" s="282">
        <f t="shared" si="18"/>
        <v>48213</v>
      </c>
      <c r="C121" s="282">
        <f t="shared" si="22"/>
        <v>48244</v>
      </c>
      <c r="D121" s="354"/>
      <c r="E121" s="283">
        <f t="shared" si="19"/>
        <v>41229.333333333336</v>
      </c>
      <c r="F121" s="283">
        <f t="shared" si="20"/>
        <v>535981.33333332872</v>
      </c>
      <c r="G121" s="285">
        <f t="shared" si="17"/>
        <v>3184.622422222194</v>
      </c>
      <c r="H121" s="285"/>
      <c r="I121" s="284">
        <f t="shared" si="16"/>
        <v>44413.955755555529</v>
      </c>
      <c r="J121" s="281">
        <f t="shared" si="23"/>
        <v>31</v>
      </c>
      <c r="K121" s="286">
        <f>SUM(E110:E121)</f>
        <v>494751.99999999994</v>
      </c>
      <c r="L121" s="286">
        <f>SUM(G110:G121)</f>
        <v>53285.13397777747</v>
      </c>
    </row>
    <row r="122" spans="1:12" s="271" customFormat="1">
      <c r="A122" s="271">
        <f t="shared" si="21"/>
        <v>96</v>
      </c>
      <c r="B122" s="272">
        <f t="shared" si="18"/>
        <v>48244</v>
      </c>
      <c r="C122" s="272">
        <f t="shared" si="22"/>
        <v>48273</v>
      </c>
      <c r="D122" s="355"/>
      <c r="E122" s="274">
        <f t="shared" si="19"/>
        <v>41229.333333333336</v>
      </c>
      <c r="F122" s="274">
        <f t="shared" si="20"/>
        <v>494751.9999999954</v>
      </c>
      <c r="G122" s="273">
        <f t="shared" si="17"/>
        <v>2939.6514666666394</v>
      </c>
      <c r="H122" s="273"/>
      <c r="I122" s="275">
        <f t="shared" si="16"/>
        <v>44168.984799999977</v>
      </c>
      <c r="J122" s="271">
        <f t="shared" si="23"/>
        <v>31</v>
      </c>
    </row>
    <row r="123" spans="1:12" s="271" customFormat="1">
      <c r="A123" s="271">
        <f t="shared" si="21"/>
        <v>97</v>
      </c>
      <c r="B123" s="272">
        <f t="shared" si="18"/>
        <v>48273</v>
      </c>
      <c r="C123" s="272">
        <f t="shared" si="22"/>
        <v>48304</v>
      </c>
      <c r="D123" s="355"/>
      <c r="E123" s="274">
        <f t="shared" si="19"/>
        <v>41229.333333333336</v>
      </c>
      <c r="F123" s="274">
        <f t="shared" si="20"/>
        <v>453522.66666666209</v>
      </c>
      <c r="G123" s="273">
        <f t="shared" si="17"/>
        <v>2520.8301555555299</v>
      </c>
      <c r="H123" s="273"/>
      <c r="I123" s="275">
        <f t="shared" si="16"/>
        <v>43750.163488888866</v>
      </c>
      <c r="J123" s="271">
        <f t="shared" si="23"/>
        <v>29</v>
      </c>
    </row>
    <row r="124" spans="1:12" s="271" customFormat="1">
      <c r="A124" s="271">
        <f t="shared" si="21"/>
        <v>98</v>
      </c>
      <c r="B124" s="272">
        <f t="shared" si="18"/>
        <v>48304</v>
      </c>
      <c r="C124" s="272">
        <f t="shared" si="22"/>
        <v>48334</v>
      </c>
      <c r="D124" s="355"/>
      <c r="E124" s="274">
        <f t="shared" si="19"/>
        <v>41229.333333333336</v>
      </c>
      <c r="F124" s="274">
        <f t="shared" si="20"/>
        <v>412293.33333332877</v>
      </c>
      <c r="G124" s="273">
        <f t="shared" si="17"/>
        <v>2449.7095555555284</v>
      </c>
      <c r="H124" s="273"/>
      <c r="I124" s="275">
        <f t="shared" si="16"/>
        <v>43679.042888888864</v>
      </c>
      <c r="J124" s="271">
        <f t="shared" si="23"/>
        <v>31</v>
      </c>
    </row>
    <row r="125" spans="1:12" s="271" customFormat="1">
      <c r="A125" s="271">
        <f t="shared" si="21"/>
        <v>99</v>
      </c>
      <c r="B125" s="272">
        <f t="shared" si="18"/>
        <v>48334</v>
      </c>
      <c r="C125" s="272">
        <f t="shared" si="22"/>
        <v>48365</v>
      </c>
      <c r="D125" s="355"/>
      <c r="E125" s="274">
        <f t="shared" si="19"/>
        <v>41229.333333333336</v>
      </c>
      <c r="F125" s="274">
        <f t="shared" si="20"/>
        <v>371063.99999999546</v>
      </c>
      <c r="G125" s="273">
        <f t="shared" si="17"/>
        <v>2133.6179999999736</v>
      </c>
      <c r="H125" s="273"/>
      <c r="I125" s="275">
        <f t="shared" si="16"/>
        <v>43362.951333333309</v>
      </c>
      <c r="J125" s="271">
        <f t="shared" si="23"/>
        <v>30</v>
      </c>
    </row>
    <row r="126" spans="1:12" s="271" customFormat="1">
      <c r="A126" s="271">
        <f t="shared" si="21"/>
        <v>100</v>
      </c>
      <c r="B126" s="272">
        <f t="shared" si="18"/>
        <v>48365</v>
      </c>
      <c r="C126" s="272">
        <f t="shared" si="22"/>
        <v>48395</v>
      </c>
      <c r="D126" s="355"/>
      <c r="E126" s="274">
        <f t="shared" si="19"/>
        <v>41229.333333333336</v>
      </c>
      <c r="F126" s="274">
        <f t="shared" si="20"/>
        <v>329834.66666666215</v>
      </c>
      <c r="G126" s="273">
        <f t="shared" si="17"/>
        <v>1959.7676444444176</v>
      </c>
      <c r="H126" s="273"/>
      <c r="I126" s="275">
        <f t="shared" si="16"/>
        <v>43189.100977777751</v>
      </c>
      <c r="J126" s="271">
        <f t="shared" si="23"/>
        <v>31</v>
      </c>
    </row>
    <row r="127" spans="1:12" s="271" customFormat="1">
      <c r="A127" s="271">
        <f t="shared" si="21"/>
        <v>101</v>
      </c>
      <c r="B127" s="272">
        <f t="shared" si="18"/>
        <v>48395</v>
      </c>
      <c r="C127" s="272">
        <f t="shared" si="22"/>
        <v>48426</v>
      </c>
      <c r="D127" s="355"/>
      <c r="E127" s="274">
        <f t="shared" si="19"/>
        <v>41229.333333333336</v>
      </c>
      <c r="F127" s="274">
        <f t="shared" si="20"/>
        <v>288605.33333332883</v>
      </c>
      <c r="G127" s="273">
        <f t="shared" si="17"/>
        <v>1659.4806666666407</v>
      </c>
      <c r="H127" s="273"/>
      <c r="I127" s="275">
        <f t="shared" si="16"/>
        <v>42888.813999999977</v>
      </c>
      <c r="J127" s="271">
        <f t="shared" si="23"/>
        <v>30</v>
      </c>
    </row>
    <row r="128" spans="1:12" s="271" customFormat="1">
      <c r="A128" s="271">
        <f t="shared" si="21"/>
        <v>102</v>
      </c>
      <c r="B128" s="272">
        <f t="shared" si="18"/>
        <v>48426</v>
      </c>
      <c r="C128" s="272">
        <f t="shared" si="22"/>
        <v>48457</v>
      </c>
      <c r="D128" s="355"/>
      <c r="E128" s="274">
        <f t="shared" si="19"/>
        <v>41229.333333333336</v>
      </c>
      <c r="F128" s="274">
        <f t="shared" si="20"/>
        <v>247375.99999999549</v>
      </c>
      <c r="G128" s="273">
        <f t="shared" si="17"/>
        <v>1469.8257333333063</v>
      </c>
      <c r="H128" s="273"/>
      <c r="I128" s="275">
        <f t="shared" si="16"/>
        <v>42699.159066666645</v>
      </c>
      <c r="J128" s="271">
        <f t="shared" si="23"/>
        <v>31</v>
      </c>
    </row>
    <row r="129" spans="1:12" s="271" customFormat="1">
      <c r="A129" s="271">
        <f t="shared" si="21"/>
        <v>103</v>
      </c>
      <c r="B129" s="272">
        <f t="shared" si="18"/>
        <v>48457</v>
      </c>
      <c r="C129" s="272">
        <f t="shared" si="22"/>
        <v>48487</v>
      </c>
      <c r="D129" s="355"/>
      <c r="E129" s="274">
        <f t="shared" si="19"/>
        <v>41229.333333333336</v>
      </c>
      <c r="F129" s="274">
        <f t="shared" si="20"/>
        <v>206146.66666666215</v>
      </c>
      <c r="G129" s="273">
        <f t="shared" si="17"/>
        <v>1224.8547777777508</v>
      </c>
      <c r="H129" s="273"/>
      <c r="I129" s="275">
        <f t="shared" si="16"/>
        <v>42454.188111111085</v>
      </c>
      <c r="J129" s="271">
        <f t="shared" si="23"/>
        <v>31</v>
      </c>
    </row>
    <row r="130" spans="1:12" s="271" customFormat="1">
      <c r="A130" s="271">
        <f t="shared" si="21"/>
        <v>104</v>
      </c>
      <c r="B130" s="272">
        <f t="shared" si="18"/>
        <v>48487</v>
      </c>
      <c r="C130" s="272">
        <f t="shared" si="22"/>
        <v>48518</v>
      </c>
      <c r="D130" s="355"/>
      <c r="E130" s="274">
        <f t="shared" si="19"/>
        <v>41229.333333333336</v>
      </c>
      <c r="F130" s="274">
        <f t="shared" si="20"/>
        <v>164917.3333333288</v>
      </c>
      <c r="G130" s="273">
        <f t="shared" si="17"/>
        <v>948.27466666664054</v>
      </c>
      <c r="H130" s="273"/>
      <c r="I130" s="275">
        <f t="shared" si="16"/>
        <v>42177.607999999978</v>
      </c>
      <c r="J130" s="271">
        <f t="shared" si="23"/>
        <v>30</v>
      </c>
    </row>
    <row r="131" spans="1:12" s="271" customFormat="1">
      <c r="A131" s="271">
        <f t="shared" si="21"/>
        <v>105</v>
      </c>
      <c r="B131" s="272">
        <f t="shared" si="18"/>
        <v>48518</v>
      </c>
      <c r="C131" s="272">
        <f t="shared" si="22"/>
        <v>48548</v>
      </c>
      <c r="D131" s="355"/>
      <c r="E131" s="274">
        <f t="shared" si="19"/>
        <v>41229.333333333336</v>
      </c>
      <c r="F131" s="274">
        <f t="shared" si="20"/>
        <v>123687.99999999546</v>
      </c>
      <c r="G131" s="273">
        <f t="shared" si="17"/>
        <v>734.91286666663962</v>
      </c>
      <c r="H131" s="273"/>
      <c r="I131" s="275">
        <f t="shared" si="16"/>
        <v>41964.246199999972</v>
      </c>
      <c r="J131" s="271">
        <f t="shared" si="23"/>
        <v>31</v>
      </c>
    </row>
    <row r="132" spans="1:12" s="271" customFormat="1">
      <c r="A132" s="271">
        <f t="shared" si="21"/>
        <v>106</v>
      </c>
      <c r="B132" s="272">
        <f t="shared" si="18"/>
        <v>48548</v>
      </c>
      <c r="C132" s="272">
        <f t="shared" si="22"/>
        <v>48579</v>
      </c>
      <c r="D132" s="355"/>
      <c r="E132" s="274">
        <f t="shared" si="19"/>
        <v>41229.333333333336</v>
      </c>
      <c r="F132" s="274">
        <f t="shared" si="20"/>
        <v>82458.666666662117</v>
      </c>
      <c r="G132" s="273">
        <f t="shared" si="17"/>
        <v>474.13733333330714</v>
      </c>
      <c r="H132" s="273"/>
      <c r="I132" s="275">
        <f t="shared" si="16"/>
        <v>41703.470666666646</v>
      </c>
      <c r="J132" s="271">
        <f t="shared" si="23"/>
        <v>30</v>
      </c>
    </row>
    <row r="133" spans="1:12" s="281" customFormat="1">
      <c r="A133" s="271">
        <f t="shared" si="21"/>
        <v>107</v>
      </c>
      <c r="B133" s="282">
        <f t="shared" si="18"/>
        <v>48579</v>
      </c>
      <c r="C133" s="282" t="e">
        <f>#REF!</f>
        <v>#REF!</v>
      </c>
      <c r="D133" s="354"/>
      <c r="E133" s="283">
        <f t="shared" si="19"/>
        <v>41229.333333333336</v>
      </c>
      <c r="F133" s="283">
        <f t="shared" si="20"/>
        <v>41229.333333328781</v>
      </c>
      <c r="G133" s="285">
        <f t="shared" si="17"/>
        <v>244.97095555552849</v>
      </c>
      <c r="H133" s="285"/>
      <c r="I133" s="284">
        <f t="shared" si="16"/>
        <v>41474.304288888867</v>
      </c>
      <c r="J133" s="281">
        <f t="shared" si="23"/>
        <v>31</v>
      </c>
      <c r="K133" s="286">
        <f>SUM(E122:E133)</f>
        <v>494751.99999999994</v>
      </c>
      <c r="L133" s="286">
        <f>SUM(G122:G133)</f>
        <v>18760.0338222219</v>
      </c>
    </row>
    <row r="134" spans="1:12" s="271" customFormat="1">
      <c r="B134" s="276" t="s">
        <v>40</v>
      </c>
      <c r="C134" s="276"/>
      <c r="D134" s="356">
        <f>SUM(D18:D133)</f>
        <v>8905536</v>
      </c>
      <c r="E134" s="277">
        <f>SUM(E26:E133)</f>
        <v>4452768.0000000047</v>
      </c>
      <c r="F134" s="277"/>
      <c r="G134" s="277">
        <f>SUM(G26:G133)</f>
        <v>1415473.7903555534</v>
      </c>
      <c r="H134" s="277"/>
      <c r="I134" s="277">
        <f>SUM(I25:I133)</f>
        <v>6215112.4175555566</v>
      </c>
      <c r="K134" s="280"/>
      <c r="L134" s="280"/>
    </row>
    <row r="135" spans="1:12" s="271" customFormat="1">
      <c r="B135" s="278" t="s">
        <v>190</v>
      </c>
      <c r="C135" s="279"/>
      <c r="D135" s="279"/>
      <c r="E135" s="280"/>
      <c r="F135" s="280"/>
      <c r="G135" s="261"/>
      <c r="H135" s="261"/>
      <c r="I135" s="280"/>
    </row>
    <row r="136" spans="1:12" s="271" customFormat="1">
      <c r="B136" s="278" t="s">
        <v>191</v>
      </c>
      <c r="C136" s="279"/>
      <c r="D136" s="279"/>
      <c r="E136" s="280"/>
      <c r="F136" s="280"/>
      <c r="G136" s="261"/>
      <c r="H136" s="261"/>
      <c r="I136" s="280"/>
    </row>
    <row r="137" spans="1:12" s="271" customFormat="1">
      <c r="B137" s="279"/>
      <c r="C137" s="279"/>
      <c r="D137" s="279"/>
      <c r="E137" s="280"/>
      <c r="F137" s="280"/>
      <c r="G137" s="261"/>
      <c r="H137" s="261"/>
      <c r="I137" s="280"/>
      <c r="K137" s="280">
        <f>SUM(K37:K133)</f>
        <v>4452767.9999999991</v>
      </c>
      <c r="L137" s="280">
        <f>SUM(L37:L133)</f>
        <v>1415473.7903555536</v>
      </c>
    </row>
    <row r="138" spans="1:12" s="271" customFormat="1">
      <c r="B138" s="279"/>
      <c r="C138" s="279"/>
      <c r="D138" s="279"/>
      <c r="E138" s="280"/>
      <c r="F138" s="280"/>
      <c r="G138" s="261"/>
      <c r="H138" s="261"/>
      <c r="I138" s="280"/>
      <c r="L138" s="280"/>
    </row>
    <row r="139" spans="1:12" s="271" customFormat="1">
      <c r="B139" s="279"/>
      <c r="C139" s="279"/>
      <c r="D139" s="279"/>
      <c r="E139" s="280"/>
      <c r="F139" s="280"/>
      <c r="G139" s="261"/>
      <c r="H139" s="261"/>
      <c r="I139" s="280"/>
    </row>
    <row r="140" spans="1:12" s="271" customFormat="1">
      <c r="B140" s="279"/>
      <c r="C140" s="279"/>
      <c r="D140" s="279"/>
      <c r="E140" s="280"/>
      <c r="F140" s="280"/>
      <c r="G140" s="261"/>
      <c r="H140" s="261"/>
      <c r="I140" s="280"/>
    </row>
    <row r="141" spans="1:12" s="271" customFormat="1">
      <c r="B141" s="279"/>
      <c r="C141" s="279"/>
      <c r="D141" s="279"/>
      <c r="E141" s="280"/>
      <c r="F141" s="280"/>
      <c r="G141" s="261"/>
      <c r="H141" s="261"/>
      <c r="I141" s="280"/>
    </row>
    <row r="142" spans="1:12" s="271" customFormat="1">
      <c r="B142" s="279"/>
      <c r="C142" s="279"/>
      <c r="D142" s="279"/>
      <c r="E142" s="280"/>
      <c r="F142" s="280"/>
      <c r="G142" s="261"/>
      <c r="H142" s="261"/>
      <c r="I142" s="280"/>
    </row>
    <row r="143" spans="1:12" s="271" customFormat="1">
      <c r="B143" s="279"/>
      <c r="C143" s="279"/>
      <c r="D143" s="279"/>
      <c r="E143" s="280"/>
      <c r="F143" s="280"/>
      <c r="G143" s="261"/>
      <c r="H143" s="261"/>
      <c r="I143" s="280"/>
    </row>
    <row r="144" spans="1:12" s="271" customFormat="1">
      <c r="B144" s="279"/>
      <c r="C144" s="279"/>
      <c r="D144" s="279"/>
      <c r="E144" s="280"/>
      <c r="F144" s="280"/>
      <c r="G144" s="261"/>
      <c r="H144" s="261"/>
      <c r="I144" s="280"/>
    </row>
    <row r="145" spans="2:9" s="271" customFormat="1">
      <c r="B145" s="279"/>
      <c r="C145" s="279"/>
      <c r="D145" s="279"/>
      <c r="E145" s="280"/>
      <c r="F145" s="280"/>
      <c r="G145" s="261"/>
      <c r="H145" s="261"/>
      <c r="I145" s="280"/>
    </row>
    <row r="146" spans="2:9" s="271" customFormat="1">
      <c r="B146" s="279"/>
      <c r="C146" s="279"/>
      <c r="D146" s="279"/>
      <c r="E146" s="280"/>
      <c r="F146" s="280"/>
      <c r="G146" s="261"/>
      <c r="H146" s="261"/>
      <c r="I146" s="280"/>
    </row>
    <row r="147" spans="2:9" s="271" customFormat="1">
      <c r="B147" s="279"/>
      <c r="C147" s="279"/>
      <c r="D147" s="279"/>
      <c r="E147" s="280"/>
      <c r="F147" s="280"/>
      <c r="G147" s="261"/>
      <c r="H147" s="261"/>
      <c r="I147" s="280"/>
    </row>
    <row r="148" spans="2:9" s="271" customFormat="1">
      <c r="B148" s="279"/>
      <c r="C148" s="279"/>
      <c r="D148" s="279"/>
      <c r="E148" s="280"/>
      <c r="F148" s="280"/>
      <c r="G148" s="261"/>
      <c r="H148" s="261"/>
      <c r="I148" s="280"/>
    </row>
    <row r="149" spans="2:9" s="271" customFormat="1">
      <c r="B149" s="279"/>
      <c r="C149" s="279"/>
      <c r="D149" s="279"/>
      <c r="E149" s="280"/>
      <c r="F149" s="280"/>
      <c r="G149" s="261"/>
      <c r="H149" s="261"/>
      <c r="I149" s="280"/>
    </row>
    <row r="150" spans="2:9" s="271" customFormat="1">
      <c r="B150" s="279"/>
      <c r="C150" s="279"/>
      <c r="D150" s="279"/>
      <c r="E150" s="280"/>
      <c r="F150" s="280"/>
      <c r="G150" s="261"/>
      <c r="H150" s="261"/>
      <c r="I150" s="280"/>
    </row>
    <row r="151" spans="2:9" s="271" customFormat="1">
      <c r="B151" s="279"/>
      <c r="C151" s="279"/>
      <c r="D151" s="279"/>
      <c r="E151" s="280"/>
      <c r="F151" s="280"/>
      <c r="G151" s="261"/>
      <c r="H151" s="261"/>
      <c r="I151" s="280"/>
    </row>
    <row r="152" spans="2:9" s="271" customFormat="1">
      <c r="B152" s="279"/>
      <c r="C152" s="279"/>
      <c r="D152" s="279"/>
      <c r="E152" s="280"/>
      <c r="F152" s="280"/>
      <c r="G152" s="261"/>
      <c r="H152" s="261"/>
      <c r="I152" s="280"/>
    </row>
    <row r="153" spans="2:9" s="271" customFormat="1">
      <c r="B153" s="279"/>
      <c r="C153" s="279"/>
      <c r="D153" s="279"/>
      <c r="E153" s="280"/>
      <c r="F153" s="280"/>
      <c r="G153" s="261"/>
      <c r="H153" s="261"/>
      <c r="I153" s="280"/>
    </row>
    <row r="154" spans="2:9" s="271" customFormat="1">
      <c r="B154" s="279"/>
      <c r="C154" s="279"/>
      <c r="D154" s="279"/>
      <c r="E154" s="280"/>
      <c r="F154" s="280"/>
      <c r="G154" s="261"/>
      <c r="H154" s="261"/>
      <c r="I154" s="280"/>
    </row>
    <row r="155" spans="2:9" s="271" customFormat="1">
      <c r="B155" s="279"/>
      <c r="C155" s="279"/>
      <c r="D155" s="279"/>
      <c r="E155" s="280"/>
      <c r="F155" s="280"/>
      <c r="G155" s="261"/>
      <c r="H155" s="261"/>
      <c r="I155" s="280"/>
    </row>
    <row r="156" spans="2:9" s="271" customFormat="1">
      <c r="B156" s="279"/>
      <c r="C156" s="279"/>
      <c r="D156" s="279"/>
      <c r="E156" s="280"/>
      <c r="F156" s="280"/>
      <c r="G156" s="261"/>
      <c r="H156" s="261"/>
      <c r="I156" s="280"/>
    </row>
    <row r="157" spans="2:9" s="271" customFormat="1">
      <c r="B157" s="279"/>
      <c r="C157" s="279"/>
      <c r="D157" s="279"/>
      <c r="E157" s="280"/>
      <c r="F157" s="280"/>
      <c r="G157" s="261"/>
      <c r="H157" s="261"/>
      <c r="I157" s="280"/>
    </row>
    <row r="158" spans="2:9" s="271" customFormat="1">
      <c r="B158" s="279"/>
      <c r="C158" s="279"/>
      <c r="D158" s="279"/>
      <c r="E158" s="280"/>
      <c r="F158" s="280"/>
      <c r="G158" s="261"/>
      <c r="H158" s="261"/>
      <c r="I158" s="280"/>
    </row>
    <row r="159" spans="2:9" s="271" customFormat="1">
      <c r="B159" s="279"/>
      <c r="C159" s="279"/>
      <c r="D159" s="279"/>
      <c r="E159" s="280"/>
      <c r="F159" s="280"/>
      <c r="G159" s="261"/>
      <c r="H159" s="261"/>
      <c r="I159" s="280"/>
    </row>
    <row r="160" spans="2:9" s="271" customFormat="1">
      <c r="B160" s="279"/>
      <c r="C160" s="279"/>
      <c r="D160" s="279"/>
      <c r="E160" s="280"/>
      <c r="F160" s="280"/>
      <c r="G160" s="261"/>
      <c r="H160" s="261"/>
      <c r="I160" s="280"/>
    </row>
    <row r="161" spans="2:9" s="271" customFormat="1">
      <c r="B161" s="279"/>
      <c r="C161" s="279"/>
      <c r="D161" s="279"/>
      <c r="E161" s="280"/>
      <c r="F161" s="280"/>
      <c r="G161" s="261"/>
      <c r="H161" s="261"/>
      <c r="I161" s="280"/>
    </row>
    <row r="162" spans="2:9" s="271" customFormat="1">
      <c r="B162" s="279"/>
      <c r="C162" s="279"/>
      <c r="D162" s="279"/>
      <c r="E162" s="280"/>
      <c r="F162" s="280"/>
      <c r="G162" s="261"/>
      <c r="H162" s="261"/>
      <c r="I162" s="280"/>
    </row>
    <row r="163" spans="2:9" s="271" customFormat="1">
      <c r="B163" s="279"/>
      <c r="C163" s="279"/>
      <c r="D163" s="279"/>
      <c r="E163" s="280"/>
      <c r="F163" s="280"/>
      <c r="G163" s="261"/>
      <c r="H163" s="261"/>
      <c r="I163" s="280"/>
    </row>
    <row r="164" spans="2:9" s="271" customFormat="1">
      <c r="B164" s="279"/>
      <c r="C164" s="279"/>
      <c r="D164" s="279"/>
      <c r="E164" s="280"/>
      <c r="F164" s="280"/>
      <c r="G164" s="261"/>
      <c r="H164" s="261"/>
      <c r="I164" s="280"/>
    </row>
    <row r="165" spans="2:9" s="271" customFormat="1">
      <c r="B165" s="279"/>
      <c r="C165" s="279"/>
      <c r="D165" s="279"/>
      <c r="E165" s="280"/>
      <c r="F165" s="280"/>
      <c r="G165" s="261"/>
      <c r="H165" s="261"/>
      <c r="I165" s="280"/>
    </row>
    <row r="166" spans="2:9" s="271" customFormat="1">
      <c r="B166" s="279"/>
      <c r="C166" s="279"/>
      <c r="D166" s="279"/>
      <c r="E166" s="280"/>
      <c r="F166" s="280"/>
      <c r="G166" s="261"/>
      <c r="H166" s="261"/>
      <c r="I166" s="280"/>
    </row>
    <row r="167" spans="2:9" s="271" customFormat="1">
      <c r="B167" s="279"/>
      <c r="C167" s="279"/>
      <c r="D167" s="279"/>
      <c r="E167" s="280"/>
      <c r="F167" s="280"/>
      <c r="G167" s="261"/>
      <c r="H167" s="261"/>
      <c r="I167" s="280"/>
    </row>
    <row r="168" spans="2:9" s="271" customFormat="1">
      <c r="B168" s="279"/>
      <c r="C168" s="279"/>
      <c r="D168" s="279"/>
      <c r="E168" s="280"/>
      <c r="F168" s="280"/>
      <c r="G168" s="261"/>
      <c r="H168" s="261"/>
      <c r="I168" s="280"/>
    </row>
    <row r="169" spans="2:9" s="271" customFormat="1">
      <c r="B169" s="279"/>
      <c r="C169" s="279"/>
      <c r="D169" s="279"/>
      <c r="E169" s="280"/>
      <c r="F169" s="280"/>
      <c r="G169" s="261"/>
      <c r="H169" s="261"/>
      <c r="I169" s="280"/>
    </row>
    <row r="170" spans="2:9" s="271" customFormat="1">
      <c r="B170" s="279"/>
      <c r="C170" s="279"/>
      <c r="D170" s="279"/>
      <c r="E170" s="280"/>
      <c r="F170" s="280"/>
      <c r="G170" s="261"/>
      <c r="H170" s="261"/>
      <c r="I170" s="280"/>
    </row>
    <row r="171" spans="2:9" s="271" customFormat="1">
      <c r="B171" s="279"/>
      <c r="C171" s="279"/>
      <c r="D171" s="279"/>
      <c r="E171" s="280"/>
      <c r="F171" s="280"/>
      <c r="G171" s="261"/>
      <c r="H171" s="261"/>
      <c r="I171" s="280"/>
    </row>
    <row r="172" spans="2:9" s="271" customFormat="1">
      <c r="B172" s="279"/>
      <c r="C172" s="279"/>
      <c r="D172" s="279"/>
      <c r="E172" s="280"/>
      <c r="F172" s="280"/>
      <c r="G172" s="261"/>
      <c r="H172" s="261"/>
      <c r="I172" s="280"/>
    </row>
    <row r="173" spans="2:9" s="271" customFormat="1">
      <c r="B173" s="279"/>
      <c r="C173" s="279"/>
      <c r="D173" s="279"/>
      <c r="E173" s="280"/>
      <c r="F173" s="280"/>
      <c r="G173" s="261"/>
      <c r="H173" s="261"/>
      <c r="I173" s="280"/>
    </row>
    <row r="174" spans="2:9" s="271" customFormat="1">
      <c r="B174" s="279"/>
      <c r="C174" s="279"/>
      <c r="D174" s="279"/>
      <c r="E174" s="280"/>
      <c r="F174" s="280"/>
      <c r="G174" s="261"/>
      <c r="H174" s="261"/>
      <c r="I174" s="280"/>
    </row>
    <row r="175" spans="2:9" s="271" customFormat="1">
      <c r="B175" s="279"/>
      <c r="C175" s="279"/>
      <c r="D175" s="279"/>
      <c r="E175" s="280"/>
      <c r="F175" s="280"/>
      <c r="G175" s="261"/>
      <c r="H175" s="261"/>
      <c r="I175" s="280"/>
    </row>
    <row r="176" spans="2:9" s="271" customFormat="1">
      <c r="B176" s="279"/>
      <c r="C176" s="279"/>
      <c r="D176" s="279"/>
      <c r="E176" s="280"/>
      <c r="F176" s="280"/>
      <c r="G176" s="261"/>
      <c r="H176" s="261"/>
      <c r="I176" s="280"/>
    </row>
    <row r="177" spans="2:9" s="271" customFormat="1">
      <c r="B177" s="279"/>
      <c r="C177" s="279"/>
      <c r="D177" s="279"/>
      <c r="E177" s="280"/>
      <c r="F177" s="280"/>
      <c r="G177" s="261"/>
      <c r="H177" s="261"/>
      <c r="I177" s="280"/>
    </row>
    <row r="178" spans="2:9" s="271" customFormat="1">
      <c r="B178" s="279"/>
      <c r="C178" s="279"/>
      <c r="D178" s="279"/>
      <c r="E178" s="280"/>
      <c r="F178" s="280"/>
      <c r="G178" s="261"/>
      <c r="H178" s="261"/>
      <c r="I178" s="280"/>
    </row>
    <row r="179" spans="2:9" s="271" customFormat="1">
      <c r="B179" s="279"/>
      <c r="C179" s="279"/>
      <c r="D179" s="279"/>
      <c r="E179" s="280"/>
      <c r="F179" s="280"/>
      <c r="G179" s="261"/>
      <c r="H179" s="261"/>
      <c r="I179" s="280"/>
    </row>
    <row r="180" spans="2:9" s="271" customFormat="1">
      <c r="B180" s="279"/>
      <c r="C180" s="279"/>
      <c r="D180" s="279"/>
      <c r="E180" s="280"/>
      <c r="F180" s="280"/>
      <c r="G180" s="261"/>
      <c r="H180" s="261"/>
      <c r="I180" s="280"/>
    </row>
    <row r="181" spans="2:9" s="271" customFormat="1">
      <c r="B181" s="279"/>
      <c r="C181" s="279"/>
      <c r="D181" s="279"/>
      <c r="E181" s="280"/>
      <c r="F181" s="280"/>
      <c r="G181" s="261"/>
      <c r="H181" s="261"/>
      <c r="I181" s="280"/>
    </row>
    <row r="182" spans="2:9" s="271" customFormat="1">
      <c r="B182" s="279"/>
      <c r="C182" s="279"/>
      <c r="D182" s="279"/>
      <c r="E182" s="280"/>
      <c r="F182" s="280"/>
      <c r="G182" s="261"/>
      <c r="H182" s="261"/>
      <c r="I182" s="280"/>
    </row>
    <row r="183" spans="2:9" s="271" customFormat="1">
      <c r="B183" s="279"/>
      <c r="C183" s="279"/>
      <c r="D183" s="279"/>
      <c r="E183" s="280"/>
      <c r="F183" s="280"/>
      <c r="G183" s="261"/>
      <c r="H183" s="261"/>
      <c r="I183" s="280"/>
    </row>
    <row r="184" spans="2:9" s="271" customFormat="1">
      <c r="B184" s="279"/>
      <c r="C184" s="279"/>
      <c r="D184" s="279"/>
      <c r="E184" s="280"/>
      <c r="F184" s="280"/>
      <c r="G184" s="261"/>
      <c r="H184" s="261"/>
      <c r="I184" s="280"/>
    </row>
    <row r="185" spans="2:9" s="271" customFormat="1">
      <c r="B185" s="279"/>
      <c r="C185" s="279"/>
      <c r="D185" s="279"/>
      <c r="E185" s="280"/>
      <c r="F185" s="280"/>
      <c r="G185" s="261"/>
      <c r="H185" s="261"/>
      <c r="I185" s="280"/>
    </row>
    <row r="186" spans="2:9" s="271" customFormat="1">
      <c r="B186" s="279"/>
      <c r="C186" s="279"/>
      <c r="D186" s="279"/>
      <c r="E186" s="280"/>
      <c r="F186" s="280"/>
      <c r="G186" s="261"/>
      <c r="H186" s="261"/>
      <c r="I186" s="280"/>
    </row>
    <row r="187" spans="2:9" s="271" customFormat="1">
      <c r="B187" s="279"/>
      <c r="C187" s="279"/>
      <c r="D187" s="279"/>
      <c r="E187" s="280"/>
      <c r="F187" s="280"/>
      <c r="G187" s="261"/>
      <c r="H187" s="261"/>
      <c r="I187" s="280"/>
    </row>
    <row r="188" spans="2:9" s="271" customFormat="1">
      <c r="B188" s="279"/>
      <c r="C188" s="279"/>
      <c r="D188" s="279"/>
      <c r="E188" s="280"/>
      <c r="F188" s="280"/>
      <c r="G188" s="261"/>
      <c r="H188" s="261"/>
      <c r="I188" s="280"/>
    </row>
    <row r="189" spans="2:9" s="271" customFormat="1">
      <c r="B189" s="279"/>
      <c r="C189" s="279"/>
      <c r="D189" s="279"/>
      <c r="E189" s="280"/>
      <c r="F189" s="280"/>
      <c r="G189" s="261"/>
      <c r="H189" s="261"/>
      <c r="I189" s="280"/>
    </row>
    <row r="190" spans="2:9" s="271" customFormat="1">
      <c r="B190" s="279"/>
      <c r="C190" s="279"/>
      <c r="D190" s="279"/>
      <c r="E190" s="280"/>
      <c r="F190" s="280"/>
      <c r="G190" s="261"/>
      <c r="H190" s="261"/>
      <c r="I190" s="280"/>
    </row>
    <row r="191" spans="2:9" s="271" customFormat="1">
      <c r="B191" s="279"/>
      <c r="C191" s="279"/>
      <c r="D191" s="279"/>
      <c r="E191" s="280"/>
      <c r="F191" s="280"/>
      <c r="G191" s="261"/>
      <c r="H191" s="261"/>
      <c r="I191" s="280"/>
    </row>
    <row r="192" spans="2:9" s="271" customFormat="1">
      <c r="B192" s="279"/>
      <c r="C192" s="279"/>
      <c r="D192" s="279"/>
      <c r="E192" s="280"/>
      <c r="F192" s="280"/>
      <c r="G192" s="261"/>
      <c r="H192" s="261"/>
      <c r="I192" s="280"/>
    </row>
    <row r="193" spans="2:9" s="271" customFormat="1">
      <c r="B193" s="279"/>
      <c r="C193" s="279"/>
      <c r="D193" s="279"/>
      <c r="E193" s="280"/>
      <c r="F193" s="280"/>
      <c r="G193" s="261"/>
      <c r="H193" s="261"/>
      <c r="I193" s="280"/>
    </row>
    <row r="194" spans="2:9" s="271" customFormat="1">
      <c r="B194" s="279"/>
      <c r="C194" s="279"/>
      <c r="D194" s="279"/>
      <c r="E194" s="280"/>
      <c r="F194" s="280"/>
      <c r="G194" s="261"/>
      <c r="H194" s="261"/>
      <c r="I194" s="280"/>
    </row>
    <row r="195" spans="2:9" s="271" customFormat="1">
      <c r="B195" s="279"/>
      <c r="C195" s="279"/>
      <c r="D195" s="279"/>
      <c r="E195" s="280"/>
      <c r="F195" s="280"/>
      <c r="G195" s="261"/>
      <c r="H195" s="261"/>
      <c r="I195" s="280"/>
    </row>
    <row r="196" spans="2:9" s="271" customFormat="1">
      <c r="B196" s="279"/>
      <c r="C196" s="279"/>
      <c r="D196" s="279"/>
      <c r="E196" s="280"/>
      <c r="F196" s="280"/>
      <c r="G196" s="261"/>
      <c r="H196" s="261"/>
      <c r="I196" s="280"/>
    </row>
    <row r="197" spans="2:9" s="271" customFormat="1">
      <c r="B197" s="279"/>
      <c r="C197" s="279"/>
      <c r="D197" s="279"/>
      <c r="E197" s="280"/>
      <c r="F197" s="280"/>
      <c r="G197" s="261"/>
      <c r="H197" s="261"/>
      <c r="I197" s="280"/>
    </row>
    <row r="198" spans="2:9" s="271" customFormat="1">
      <c r="B198" s="279"/>
      <c r="C198" s="279"/>
      <c r="D198" s="279"/>
      <c r="E198" s="280"/>
      <c r="F198" s="280"/>
      <c r="G198" s="261"/>
      <c r="H198" s="261"/>
      <c r="I198" s="280"/>
    </row>
    <row r="199" spans="2:9" s="271" customFormat="1">
      <c r="B199" s="279"/>
      <c r="C199" s="279"/>
      <c r="D199" s="279"/>
      <c r="E199" s="280"/>
      <c r="F199" s="280"/>
      <c r="G199" s="261"/>
      <c r="H199" s="261"/>
      <c r="I199" s="280"/>
    </row>
    <row r="200" spans="2:9" s="271" customFormat="1">
      <c r="B200" s="279"/>
      <c r="C200" s="279"/>
      <c r="D200" s="279"/>
      <c r="E200" s="280"/>
      <c r="F200" s="280"/>
      <c r="G200" s="261"/>
      <c r="H200" s="261"/>
      <c r="I200" s="280"/>
    </row>
    <row r="201" spans="2:9" s="271" customFormat="1">
      <c r="B201" s="279"/>
      <c r="C201" s="279"/>
      <c r="D201" s="279"/>
      <c r="E201" s="280"/>
      <c r="F201" s="280"/>
      <c r="G201" s="261"/>
      <c r="H201" s="261"/>
      <c r="I201" s="280"/>
    </row>
    <row r="202" spans="2:9" s="271" customFormat="1">
      <c r="B202" s="279"/>
      <c r="C202" s="279"/>
      <c r="D202" s="279"/>
      <c r="E202" s="280"/>
      <c r="F202" s="280"/>
      <c r="G202" s="261"/>
      <c r="H202" s="261"/>
      <c r="I202" s="280"/>
    </row>
    <row r="203" spans="2:9" s="271" customFormat="1">
      <c r="B203" s="279"/>
      <c r="C203" s="279"/>
      <c r="D203" s="279"/>
      <c r="E203" s="280"/>
      <c r="F203" s="280"/>
      <c r="G203" s="261"/>
      <c r="H203" s="261"/>
      <c r="I203" s="280"/>
    </row>
    <row r="204" spans="2:9" s="271" customFormat="1">
      <c r="B204" s="279"/>
      <c r="C204" s="279"/>
      <c r="D204" s="279"/>
      <c r="E204" s="280"/>
      <c r="F204" s="280"/>
      <c r="G204" s="261"/>
      <c r="H204" s="261"/>
      <c r="I204" s="280"/>
    </row>
    <row r="205" spans="2:9" s="271" customFormat="1">
      <c r="B205" s="279"/>
      <c r="C205" s="279"/>
      <c r="D205" s="279"/>
      <c r="E205" s="280"/>
      <c r="F205" s="280"/>
      <c r="G205" s="261"/>
      <c r="H205" s="261"/>
      <c r="I205" s="280"/>
    </row>
    <row r="206" spans="2:9" s="271" customFormat="1">
      <c r="B206" s="279"/>
      <c r="C206" s="279"/>
      <c r="D206" s="279"/>
      <c r="E206" s="280"/>
      <c r="F206" s="280"/>
      <c r="G206" s="261"/>
      <c r="H206" s="261"/>
      <c r="I206" s="280"/>
    </row>
    <row r="207" spans="2:9" s="271" customFormat="1">
      <c r="B207" s="279"/>
      <c r="C207" s="279"/>
      <c r="D207" s="279"/>
      <c r="E207" s="280"/>
      <c r="F207" s="280"/>
      <c r="G207" s="261"/>
      <c r="H207" s="261"/>
      <c r="I207" s="280"/>
    </row>
    <row r="208" spans="2:9" s="271" customFormat="1">
      <c r="B208" s="279"/>
      <c r="C208" s="279"/>
      <c r="D208" s="279"/>
      <c r="E208" s="280"/>
      <c r="F208" s="280"/>
      <c r="G208" s="261"/>
      <c r="H208" s="261"/>
      <c r="I208" s="280"/>
    </row>
    <row r="209" spans="2:9" s="271" customFormat="1">
      <c r="B209" s="279"/>
      <c r="C209" s="279"/>
      <c r="D209" s="279"/>
      <c r="E209" s="280"/>
      <c r="F209" s="280"/>
      <c r="G209" s="261"/>
      <c r="H209" s="261"/>
      <c r="I209" s="280"/>
    </row>
    <row r="210" spans="2:9" s="271" customFormat="1">
      <c r="B210" s="279"/>
      <c r="C210" s="279"/>
      <c r="D210" s="279"/>
      <c r="E210" s="280"/>
      <c r="F210" s="280"/>
      <c r="G210" s="261"/>
      <c r="H210" s="261"/>
      <c r="I210" s="280"/>
    </row>
    <row r="211" spans="2:9" s="271" customFormat="1">
      <c r="B211" s="279"/>
      <c r="C211" s="279"/>
      <c r="D211" s="279"/>
      <c r="E211" s="280"/>
      <c r="F211" s="280"/>
      <c r="G211" s="261"/>
      <c r="H211" s="261"/>
      <c r="I211" s="280"/>
    </row>
    <row r="212" spans="2:9" s="271" customFormat="1">
      <c r="B212" s="279"/>
      <c r="C212" s="279"/>
      <c r="D212" s="279"/>
      <c r="E212" s="280"/>
      <c r="F212" s="280"/>
      <c r="G212" s="261"/>
      <c r="H212" s="261"/>
      <c r="I212" s="280"/>
    </row>
    <row r="213" spans="2:9" s="271" customFormat="1">
      <c r="B213" s="279"/>
      <c r="C213" s="279"/>
      <c r="D213" s="279"/>
      <c r="E213" s="280"/>
      <c r="F213" s="280"/>
      <c r="G213" s="261"/>
      <c r="H213" s="261"/>
      <c r="I213" s="280"/>
    </row>
    <row r="214" spans="2:9" s="271" customFormat="1">
      <c r="B214" s="279"/>
      <c r="C214" s="279"/>
      <c r="D214" s="279"/>
      <c r="E214" s="280"/>
      <c r="F214" s="280"/>
      <c r="G214" s="261"/>
      <c r="H214" s="261"/>
      <c r="I214" s="280"/>
    </row>
    <row r="215" spans="2:9" s="271" customFormat="1">
      <c r="B215" s="279"/>
      <c r="C215" s="279"/>
      <c r="D215" s="279"/>
      <c r="E215" s="280"/>
      <c r="F215" s="280"/>
      <c r="G215" s="261"/>
      <c r="H215" s="261"/>
      <c r="I215" s="280"/>
    </row>
    <row r="216" spans="2:9" s="271" customFormat="1">
      <c r="B216" s="279"/>
      <c r="C216" s="279"/>
      <c r="D216" s="279"/>
      <c r="E216" s="280"/>
      <c r="F216" s="280"/>
      <c r="G216" s="261"/>
      <c r="H216" s="261"/>
      <c r="I216" s="280"/>
    </row>
    <row r="217" spans="2:9" s="271" customFormat="1">
      <c r="B217" s="279"/>
      <c r="C217" s="279"/>
      <c r="D217" s="279"/>
      <c r="E217" s="280"/>
      <c r="F217" s="280"/>
      <c r="G217" s="261"/>
      <c r="H217" s="261"/>
      <c r="I217" s="280"/>
    </row>
    <row r="218" spans="2:9" s="271" customFormat="1">
      <c r="B218" s="279"/>
      <c r="C218" s="279"/>
      <c r="D218" s="279"/>
      <c r="E218" s="280"/>
      <c r="F218" s="280"/>
      <c r="G218" s="261"/>
      <c r="H218" s="261"/>
      <c r="I218" s="280"/>
    </row>
    <row r="219" spans="2:9" s="271" customFormat="1">
      <c r="B219" s="279"/>
      <c r="C219" s="279"/>
      <c r="D219" s="279"/>
      <c r="E219" s="280"/>
      <c r="F219" s="280"/>
      <c r="G219" s="261"/>
      <c r="H219" s="261"/>
      <c r="I219" s="280"/>
    </row>
    <row r="220" spans="2:9" s="271" customFormat="1">
      <c r="B220" s="279"/>
      <c r="C220" s="279"/>
      <c r="D220" s="279"/>
      <c r="E220" s="280"/>
      <c r="F220" s="280"/>
      <c r="G220" s="261"/>
      <c r="H220" s="261"/>
      <c r="I220" s="280"/>
    </row>
    <row r="221" spans="2:9" s="271" customFormat="1">
      <c r="B221" s="279"/>
      <c r="C221" s="279"/>
      <c r="D221" s="279"/>
      <c r="E221" s="280"/>
      <c r="F221" s="280"/>
      <c r="G221" s="261"/>
      <c r="H221" s="261"/>
      <c r="I221" s="280"/>
    </row>
    <row r="222" spans="2:9" s="271" customFormat="1">
      <c r="B222" s="279"/>
      <c r="C222" s="279"/>
      <c r="D222" s="279"/>
      <c r="E222" s="280"/>
      <c r="F222" s="280"/>
      <c r="G222" s="261"/>
      <c r="H222" s="261"/>
      <c r="I222" s="280"/>
    </row>
    <row r="223" spans="2:9" s="271" customFormat="1">
      <c r="B223" s="279"/>
      <c r="C223" s="279"/>
      <c r="D223" s="279"/>
      <c r="E223" s="280"/>
      <c r="F223" s="280"/>
      <c r="G223" s="261"/>
      <c r="H223" s="261"/>
      <c r="I223" s="280"/>
    </row>
    <row r="224" spans="2:9" s="271" customFormat="1">
      <c r="B224" s="279"/>
      <c r="C224" s="279"/>
      <c r="D224" s="279"/>
      <c r="E224" s="280"/>
      <c r="F224" s="280"/>
      <c r="G224" s="261"/>
      <c r="H224" s="261"/>
      <c r="I224" s="280"/>
    </row>
    <row r="225" spans="2:9" s="271" customFormat="1">
      <c r="B225" s="279"/>
      <c r="C225" s="279"/>
      <c r="D225" s="279"/>
      <c r="E225" s="280"/>
      <c r="F225" s="280"/>
      <c r="G225" s="261"/>
      <c r="H225" s="261"/>
      <c r="I225" s="280"/>
    </row>
    <row r="226" spans="2:9" s="271" customFormat="1">
      <c r="B226" s="279"/>
      <c r="C226" s="279"/>
      <c r="D226" s="279"/>
      <c r="E226" s="280"/>
      <c r="F226" s="280"/>
      <c r="G226" s="261"/>
      <c r="H226" s="261"/>
      <c r="I226" s="280"/>
    </row>
    <row r="227" spans="2:9" s="271" customFormat="1">
      <c r="B227" s="279"/>
      <c r="C227" s="279"/>
      <c r="D227" s="279"/>
      <c r="E227" s="280"/>
      <c r="F227" s="280"/>
      <c r="G227" s="261"/>
      <c r="H227" s="261"/>
      <c r="I227" s="280"/>
    </row>
    <row r="228" spans="2:9" s="271" customFormat="1">
      <c r="B228" s="279"/>
      <c r="C228" s="279"/>
      <c r="D228" s="279"/>
      <c r="E228" s="280"/>
      <c r="F228" s="280"/>
      <c r="G228" s="261"/>
      <c r="H228" s="261"/>
      <c r="I228" s="280"/>
    </row>
    <row r="229" spans="2:9" s="271" customFormat="1">
      <c r="B229" s="279"/>
      <c r="C229" s="279"/>
      <c r="D229" s="279"/>
      <c r="E229" s="280"/>
      <c r="F229" s="280"/>
      <c r="G229" s="261"/>
      <c r="H229" s="261"/>
      <c r="I229" s="280"/>
    </row>
    <row r="230" spans="2:9" s="271" customFormat="1">
      <c r="B230" s="279"/>
      <c r="C230" s="279"/>
      <c r="D230" s="279"/>
      <c r="E230" s="280"/>
      <c r="F230" s="280"/>
      <c r="G230" s="261"/>
      <c r="H230" s="261"/>
      <c r="I230" s="280"/>
    </row>
    <row r="231" spans="2:9" s="271" customFormat="1">
      <c r="B231" s="279"/>
      <c r="C231" s="279"/>
      <c r="D231" s="279"/>
      <c r="E231" s="280"/>
      <c r="F231" s="280"/>
      <c r="G231" s="261"/>
      <c r="H231" s="261"/>
      <c r="I231" s="280"/>
    </row>
    <row r="232" spans="2:9" s="271" customFormat="1">
      <c r="B232" s="279"/>
      <c r="C232" s="279"/>
      <c r="D232" s="279"/>
      <c r="E232" s="280"/>
      <c r="F232" s="280"/>
      <c r="G232" s="261"/>
      <c r="H232" s="261"/>
      <c r="I232" s="280"/>
    </row>
    <row r="233" spans="2:9" s="271" customFormat="1">
      <c r="B233" s="279"/>
      <c r="C233" s="279"/>
      <c r="D233" s="279"/>
      <c r="E233" s="280"/>
      <c r="F233" s="280"/>
      <c r="G233" s="261"/>
      <c r="H233" s="261"/>
      <c r="I233" s="280"/>
    </row>
    <row r="234" spans="2:9" s="271" customFormat="1">
      <c r="B234" s="279"/>
      <c r="C234" s="279"/>
      <c r="D234" s="279"/>
      <c r="E234" s="280"/>
      <c r="F234" s="280"/>
      <c r="G234" s="261"/>
      <c r="H234" s="261"/>
      <c r="I234" s="280"/>
    </row>
    <row r="235" spans="2:9" s="271" customFormat="1">
      <c r="B235" s="279"/>
      <c r="C235" s="279"/>
      <c r="D235" s="279"/>
      <c r="E235" s="280"/>
      <c r="F235" s="280"/>
      <c r="G235" s="261"/>
      <c r="H235" s="261"/>
      <c r="I235" s="280"/>
    </row>
    <row r="236" spans="2:9" s="271" customFormat="1">
      <c r="B236" s="279"/>
      <c r="C236" s="279"/>
      <c r="D236" s="279"/>
      <c r="E236" s="280"/>
      <c r="F236" s="280"/>
      <c r="G236" s="261"/>
      <c r="H236" s="261"/>
      <c r="I236" s="280"/>
    </row>
    <row r="237" spans="2:9" s="271" customFormat="1">
      <c r="B237" s="279"/>
      <c r="C237" s="279"/>
      <c r="D237" s="279"/>
      <c r="E237" s="280"/>
      <c r="F237" s="280"/>
      <c r="G237" s="261"/>
      <c r="H237" s="261"/>
      <c r="I237" s="280"/>
    </row>
    <row r="238" spans="2:9" s="271" customFormat="1">
      <c r="B238" s="279"/>
      <c r="C238" s="279"/>
      <c r="D238" s="279"/>
      <c r="E238" s="280"/>
      <c r="F238" s="280"/>
      <c r="G238" s="261"/>
      <c r="H238" s="261"/>
      <c r="I238" s="280"/>
    </row>
    <row r="239" spans="2:9" s="271" customFormat="1">
      <c r="B239" s="279"/>
      <c r="C239" s="279"/>
      <c r="D239" s="279"/>
      <c r="E239" s="280"/>
      <c r="F239" s="280"/>
      <c r="G239" s="261"/>
      <c r="H239" s="261"/>
      <c r="I239" s="280"/>
    </row>
    <row r="240" spans="2:9" s="271" customFormat="1">
      <c r="B240" s="279"/>
      <c r="C240" s="279"/>
      <c r="D240" s="279"/>
      <c r="E240" s="280"/>
      <c r="F240" s="280"/>
      <c r="G240" s="261"/>
      <c r="H240" s="261"/>
      <c r="I240" s="280"/>
    </row>
    <row r="241" spans="2:9" s="271" customFormat="1">
      <c r="B241" s="279"/>
      <c r="C241" s="279"/>
      <c r="D241" s="279"/>
      <c r="E241" s="280"/>
      <c r="F241" s="280"/>
      <c r="G241" s="261"/>
      <c r="H241" s="261"/>
      <c r="I241" s="280"/>
    </row>
    <row r="242" spans="2:9" s="271" customFormat="1">
      <c r="B242" s="279"/>
      <c r="C242" s="279"/>
      <c r="D242" s="279"/>
      <c r="E242" s="280"/>
      <c r="F242" s="280"/>
      <c r="G242" s="261"/>
      <c r="H242" s="261"/>
      <c r="I242" s="280"/>
    </row>
    <row r="243" spans="2:9" s="271" customFormat="1">
      <c r="B243" s="279"/>
      <c r="C243" s="279"/>
      <c r="D243" s="279"/>
      <c r="E243" s="280"/>
      <c r="F243" s="280"/>
      <c r="G243" s="261"/>
      <c r="H243" s="261"/>
      <c r="I243" s="280"/>
    </row>
    <row r="244" spans="2:9" s="271" customFormat="1">
      <c r="B244" s="279"/>
      <c r="C244" s="279"/>
      <c r="D244" s="279"/>
      <c r="E244" s="280"/>
      <c r="F244" s="280"/>
      <c r="G244" s="261"/>
      <c r="H244" s="261"/>
      <c r="I244" s="280"/>
    </row>
    <row r="245" spans="2:9" s="271" customFormat="1">
      <c r="B245" s="279"/>
      <c r="C245" s="279"/>
      <c r="D245" s="279"/>
      <c r="E245" s="280"/>
      <c r="F245" s="280"/>
      <c r="G245" s="261"/>
      <c r="H245" s="261"/>
      <c r="I245" s="280"/>
    </row>
    <row r="246" spans="2:9" s="271" customFormat="1">
      <c r="B246" s="279"/>
      <c r="C246" s="279"/>
      <c r="D246" s="279"/>
      <c r="E246" s="280"/>
      <c r="F246" s="280"/>
      <c r="G246" s="261"/>
      <c r="H246" s="261"/>
      <c r="I246" s="280"/>
    </row>
    <row r="247" spans="2:9" s="271" customFormat="1">
      <c r="B247" s="279"/>
      <c r="C247" s="279"/>
      <c r="D247" s="279"/>
      <c r="E247" s="280"/>
      <c r="F247" s="280"/>
      <c r="G247" s="261"/>
      <c r="H247" s="261"/>
      <c r="I247" s="280"/>
    </row>
    <row r="248" spans="2:9" s="271" customFormat="1">
      <c r="B248" s="279"/>
      <c r="C248" s="279"/>
      <c r="D248" s="279"/>
      <c r="E248" s="280"/>
      <c r="F248" s="280"/>
      <c r="G248" s="261"/>
      <c r="H248" s="261"/>
      <c r="I248" s="280"/>
    </row>
    <row r="249" spans="2:9" s="271" customFormat="1">
      <c r="B249" s="279"/>
      <c r="C249" s="279"/>
      <c r="D249" s="279"/>
      <c r="E249" s="280"/>
      <c r="F249" s="280"/>
      <c r="G249" s="261"/>
      <c r="H249" s="261"/>
      <c r="I249" s="280"/>
    </row>
    <row r="250" spans="2:9" s="271" customFormat="1">
      <c r="B250" s="279"/>
      <c r="C250" s="279"/>
      <c r="D250" s="279"/>
      <c r="E250" s="280"/>
      <c r="F250" s="280"/>
      <c r="G250" s="261"/>
      <c r="H250" s="261"/>
      <c r="I250" s="280"/>
    </row>
    <row r="251" spans="2:9" s="271" customFormat="1">
      <c r="B251" s="279"/>
      <c r="C251" s="279"/>
      <c r="D251" s="279"/>
      <c r="E251" s="280"/>
      <c r="F251" s="280"/>
      <c r="G251" s="261"/>
      <c r="H251" s="261"/>
      <c r="I251" s="280"/>
    </row>
    <row r="252" spans="2:9" s="271" customFormat="1">
      <c r="B252" s="279"/>
      <c r="C252" s="279"/>
      <c r="D252" s="279"/>
      <c r="E252" s="280"/>
      <c r="F252" s="280"/>
      <c r="G252" s="261"/>
      <c r="H252" s="261"/>
      <c r="I252" s="280"/>
    </row>
    <row r="253" spans="2:9" s="271" customFormat="1">
      <c r="B253" s="279"/>
      <c r="C253" s="279"/>
      <c r="D253" s="279"/>
      <c r="E253" s="280"/>
      <c r="F253" s="280"/>
      <c r="G253" s="261"/>
      <c r="H253" s="261"/>
      <c r="I253" s="280"/>
    </row>
    <row r="254" spans="2:9" s="271" customFormat="1">
      <c r="B254" s="279"/>
      <c r="C254" s="279"/>
      <c r="D254" s="279"/>
      <c r="E254" s="280"/>
      <c r="F254" s="280"/>
      <c r="G254" s="261"/>
      <c r="H254" s="261"/>
      <c r="I254" s="280"/>
    </row>
    <row r="255" spans="2:9" s="271" customFormat="1">
      <c r="B255" s="279"/>
      <c r="C255" s="279"/>
      <c r="D255" s="279"/>
      <c r="E255" s="280"/>
      <c r="F255" s="280"/>
      <c r="G255" s="261"/>
      <c r="H255" s="261"/>
      <c r="I255" s="280"/>
    </row>
    <row r="256" spans="2:9" s="271" customFormat="1">
      <c r="B256" s="279"/>
      <c r="C256" s="279"/>
      <c r="D256" s="279"/>
      <c r="E256" s="280"/>
      <c r="F256" s="280"/>
      <c r="G256" s="261"/>
      <c r="H256" s="261"/>
      <c r="I256" s="280"/>
    </row>
    <row r="257" spans="2:9" s="271" customFormat="1">
      <c r="B257" s="279"/>
      <c r="C257" s="279"/>
      <c r="D257" s="279"/>
      <c r="E257" s="280"/>
      <c r="F257" s="280"/>
      <c r="G257" s="261"/>
      <c r="H257" s="261"/>
      <c r="I257" s="280"/>
    </row>
    <row r="258" spans="2:9" s="271" customFormat="1">
      <c r="B258" s="279"/>
      <c r="C258" s="279"/>
      <c r="D258" s="279"/>
      <c r="E258" s="280"/>
      <c r="F258" s="280"/>
      <c r="G258" s="261"/>
      <c r="H258" s="261"/>
      <c r="I258" s="280"/>
    </row>
    <row r="259" spans="2:9" s="271" customFormat="1">
      <c r="B259" s="279"/>
      <c r="C259" s="279"/>
      <c r="D259" s="279"/>
      <c r="E259" s="280"/>
      <c r="F259" s="280"/>
      <c r="G259" s="261"/>
      <c r="H259" s="261"/>
      <c r="I259" s="280"/>
    </row>
    <row r="260" spans="2:9" s="271" customFormat="1">
      <c r="B260" s="279"/>
      <c r="C260" s="279"/>
      <c r="D260" s="279"/>
      <c r="E260" s="280"/>
      <c r="F260" s="280"/>
      <c r="G260" s="261"/>
      <c r="H260" s="261"/>
      <c r="I260" s="280"/>
    </row>
    <row r="261" spans="2:9" s="271" customFormat="1">
      <c r="B261" s="279"/>
      <c r="C261" s="279"/>
      <c r="D261" s="279"/>
      <c r="E261" s="280"/>
      <c r="F261" s="280"/>
      <c r="G261" s="261"/>
      <c r="H261" s="261"/>
      <c r="I261" s="280"/>
    </row>
    <row r="262" spans="2:9" s="271" customFormat="1">
      <c r="B262" s="279"/>
      <c r="C262" s="279"/>
      <c r="D262" s="279"/>
      <c r="E262" s="280"/>
      <c r="F262" s="280"/>
      <c r="G262" s="261"/>
      <c r="H262" s="261"/>
      <c r="I262" s="280"/>
    </row>
    <row r="263" spans="2:9" s="271" customFormat="1">
      <c r="B263" s="279"/>
      <c r="C263" s="279"/>
      <c r="D263" s="279"/>
      <c r="E263" s="280"/>
      <c r="F263" s="280"/>
      <c r="G263" s="261"/>
      <c r="H263" s="261"/>
      <c r="I263" s="280"/>
    </row>
    <row r="264" spans="2:9" s="271" customFormat="1">
      <c r="B264" s="279"/>
      <c r="C264" s="279"/>
      <c r="D264" s="279"/>
      <c r="E264" s="280"/>
      <c r="F264" s="280"/>
      <c r="G264" s="261"/>
      <c r="H264" s="261"/>
      <c r="I264" s="280"/>
    </row>
    <row r="265" spans="2:9" s="271" customFormat="1">
      <c r="B265" s="279"/>
      <c r="C265" s="279"/>
      <c r="D265" s="279"/>
      <c r="E265" s="280"/>
      <c r="F265" s="280"/>
      <c r="G265" s="261"/>
      <c r="H265" s="261"/>
      <c r="I265" s="280"/>
    </row>
    <row r="266" spans="2:9" s="271" customFormat="1">
      <c r="B266" s="279"/>
      <c r="C266" s="279"/>
      <c r="D266" s="279"/>
      <c r="E266" s="280"/>
      <c r="F266" s="280"/>
      <c r="G266" s="261"/>
      <c r="H266" s="261"/>
      <c r="I266" s="280"/>
    </row>
    <row r="267" spans="2:9" s="271" customFormat="1">
      <c r="B267" s="279"/>
      <c r="C267" s="279"/>
      <c r="D267" s="279"/>
      <c r="E267" s="280"/>
      <c r="F267" s="280"/>
      <c r="G267" s="261"/>
      <c r="H267" s="261"/>
      <c r="I267" s="280"/>
    </row>
    <row r="268" spans="2:9" s="271" customFormat="1">
      <c r="B268" s="279"/>
      <c r="C268" s="279"/>
      <c r="D268" s="279"/>
      <c r="E268" s="280"/>
      <c r="F268" s="280"/>
      <c r="G268" s="261"/>
      <c r="H268" s="261"/>
      <c r="I268" s="280"/>
    </row>
    <row r="269" spans="2:9" s="271" customFormat="1">
      <c r="B269" s="279"/>
      <c r="C269" s="279"/>
      <c r="D269" s="279"/>
      <c r="E269" s="280"/>
      <c r="F269" s="280"/>
      <c r="G269" s="261"/>
      <c r="H269" s="261"/>
      <c r="I269" s="280"/>
    </row>
    <row r="270" spans="2:9" s="271" customFormat="1">
      <c r="B270" s="279"/>
      <c r="C270" s="279"/>
      <c r="D270" s="279"/>
      <c r="E270" s="280"/>
      <c r="F270" s="280"/>
      <c r="G270" s="261"/>
      <c r="H270" s="261"/>
      <c r="I270" s="280"/>
    </row>
    <row r="271" spans="2:9" s="271" customFormat="1">
      <c r="B271" s="279"/>
      <c r="C271" s="279"/>
      <c r="D271" s="279"/>
      <c r="E271" s="280"/>
      <c r="F271" s="280"/>
      <c r="G271" s="261"/>
      <c r="H271" s="261"/>
      <c r="I271" s="280"/>
    </row>
    <row r="272" spans="2:9" s="271" customFormat="1">
      <c r="B272" s="279"/>
      <c r="C272" s="279"/>
      <c r="D272" s="279"/>
      <c r="E272" s="280"/>
      <c r="F272" s="280"/>
      <c r="G272" s="261"/>
      <c r="H272" s="261"/>
      <c r="I272" s="280"/>
    </row>
    <row r="273" spans="2:9" s="271" customFormat="1">
      <c r="B273" s="279"/>
      <c r="C273" s="279"/>
      <c r="D273" s="279"/>
      <c r="E273" s="280"/>
      <c r="F273" s="280"/>
      <c r="G273" s="261"/>
      <c r="H273" s="261"/>
      <c r="I273" s="280"/>
    </row>
    <row r="274" spans="2:9" s="271" customFormat="1">
      <c r="B274" s="279"/>
      <c r="C274" s="279"/>
      <c r="D274" s="279"/>
      <c r="E274" s="280"/>
      <c r="F274" s="280"/>
      <c r="G274" s="261"/>
      <c r="H274" s="261"/>
      <c r="I274" s="280"/>
    </row>
    <row r="275" spans="2:9" s="271" customFormat="1">
      <c r="B275" s="279"/>
      <c r="C275" s="279"/>
      <c r="D275" s="279"/>
      <c r="E275" s="280"/>
      <c r="F275" s="280"/>
      <c r="G275" s="261"/>
      <c r="H275" s="261"/>
      <c r="I275" s="280"/>
    </row>
    <row r="276" spans="2:9" s="271" customFormat="1">
      <c r="B276" s="279"/>
      <c r="C276" s="279"/>
      <c r="D276" s="279"/>
      <c r="E276" s="280"/>
      <c r="F276" s="280"/>
      <c r="G276" s="261"/>
      <c r="H276" s="261"/>
      <c r="I276" s="280"/>
    </row>
    <row r="277" spans="2:9" s="271" customFormat="1">
      <c r="B277" s="279"/>
      <c r="C277" s="279"/>
      <c r="D277" s="279"/>
      <c r="E277" s="280"/>
      <c r="F277" s="280"/>
      <c r="G277" s="261"/>
      <c r="H277" s="261"/>
      <c r="I277" s="280"/>
    </row>
    <row r="278" spans="2:9" s="271" customFormat="1">
      <c r="B278" s="279"/>
      <c r="C278" s="279"/>
      <c r="D278" s="279"/>
      <c r="E278" s="280"/>
      <c r="F278" s="280"/>
      <c r="G278" s="261"/>
      <c r="H278" s="261"/>
      <c r="I278" s="280"/>
    </row>
    <row r="279" spans="2:9" s="271" customFormat="1">
      <c r="B279" s="279"/>
      <c r="C279" s="279"/>
      <c r="D279" s="279"/>
      <c r="E279" s="280"/>
      <c r="F279" s="280"/>
      <c r="G279" s="261"/>
      <c r="H279" s="261"/>
      <c r="I279" s="280"/>
    </row>
    <row r="280" spans="2:9" s="271" customFormat="1">
      <c r="B280" s="279"/>
      <c r="C280" s="279"/>
      <c r="D280" s="279"/>
      <c r="E280" s="280"/>
      <c r="F280" s="280"/>
      <c r="G280" s="261"/>
      <c r="H280" s="261"/>
      <c r="I280" s="280"/>
    </row>
    <row r="281" spans="2:9" s="271" customFormat="1">
      <c r="B281" s="279"/>
      <c r="C281" s="279"/>
      <c r="D281" s="279"/>
      <c r="E281" s="280"/>
      <c r="F281" s="280"/>
      <c r="G281" s="261"/>
      <c r="H281" s="261"/>
      <c r="I281" s="280"/>
    </row>
    <row r="282" spans="2:9" s="271" customFormat="1">
      <c r="B282" s="279"/>
      <c r="C282" s="279"/>
      <c r="D282" s="279"/>
      <c r="E282" s="280"/>
      <c r="F282" s="280"/>
      <c r="G282" s="261"/>
      <c r="H282" s="261"/>
      <c r="I282" s="280"/>
    </row>
    <row r="283" spans="2:9" s="271" customFormat="1">
      <c r="B283" s="279"/>
      <c r="C283" s="279"/>
      <c r="D283" s="279"/>
      <c r="E283" s="280"/>
      <c r="F283" s="280"/>
      <c r="G283" s="261"/>
      <c r="H283" s="261"/>
      <c r="I283" s="280"/>
    </row>
    <row r="284" spans="2:9" s="271" customFormat="1">
      <c r="B284" s="279"/>
      <c r="C284" s="279"/>
      <c r="D284" s="279"/>
      <c r="E284" s="280"/>
      <c r="F284" s="280"/>
      <c r="G284" s="261"/>
      <c r="H284" s="261"/>
      <c r="I284" s="280"/>
    </row>
    <row r="285" spans="2:9" s="271" customFormat="1">
      <c r="B285" s="279"/>
      <c r="C285" s="279"/>
      <c r="D285" s="279"/>
      <c r="E285" s="280"/>
      <c r="F285" s="280"/>
      <c r="G285" s="261"/>
      <c r="H285" s="261"/>
      <c r="I285" s="280"/>
    </row>
    <row r="286" spans="2:9" s="271" customFormat="1">
      <c r="B286" s="279"/>
      <c r="C286" s="279"/>
      <c r="D286" s="279"/>
      <c r="E286" s="280"/>
      <c r="F286" s="280"/>
      <c r="G286" s="261"/>
      <c r="H286" s="261"/>
      <c r="I286" s="280"/>
    </row>
    <row r="287" spans="2:9" s="271" customFormat="1">
      <c r="B287" s="279"/>
      <c r="C287" s="279"/>
      <c r="D287" s="279"/>
      <c r="E287" s="280"/>
      <c r="F287" s="280"/>
      <c r="G287" s="261"/>
      <c r="H287" s="261"/>
      <c r="I287" s="280"/>
    </row>
    <row r="288" spans="2:9" s="271" customFormat="1">
      <c r="B288" s="279"/>
      <c r="C288" s="279"/>
      <c r="D288" s="279"/>
      <c r="E288" s="280"/>
      <c r="F288" s="280"/>
      <c r="G288" s="261"/>
      <c r="H288" s="261"/>
      <c r="I288" s="280"/>
    </row>
    <row r="289" spans="2:9" s="271" customFormat="1">
      <c r="B289" s="279"/>
      <c r="C289" s="279"/>
      <c r="D289" s="279"/>
      <c r="E289" s="280"/>
      <c r="F289" s="280"/>
      <c r="G289" s="261"/>
      <c r="H289" s="261"/>
      <c r="I289" s="280"/>
    </row>
    <row r="290" spans="2:9" s="271" customFormat="1">
      <c r="B290" s="279"/>
      <c r="C290" s="279"/>
      <c r="D290" s="279"/>
      <c r="E290" s="280"/>
      <c r="F290" s="280"/>
      <c r="G290" s="261"/>
      <c r="H290" s="261"/>
      <c r="I290" s="280"/>
    </row>
    <row r="291" spans="2:9" s="271" customFormat="1">
      <c r="B291" s="279"/>
      <c r="C291" s="279"/>
      <c r="D291" s="279"/>
      <c r="E291" s="280"/>
      <c r="F291" s="280"/>
      <c r="G291" s="261"/>
      <c r="H291" s="261"/>
      <c r="I291" s="280"/>
    </row>
    <row r="292" spans="2:9" s="271" customFormat="1">
      <c r="B292" s="279"/>
      <c r="C292" s="279"/>
      <c r="D292" s="279"/>
      <c r="E292" s="280"/>
      <c r="F292" s="280"/>
      <c r="G292" s="261"/>
      <c r="H292" s="261"/>
      <c r="I292" s="280"/>
    </row>
    <row r="293" spans="2:9" s="271" customFormat="1">
      <c r="B293" s="279"/>
      <c r="C293" s="279"/>
      <c r="D293" s="279"/>
      <c r="E293" s="280"/>
      <c r="F293" s="280"/>
      <c r="G293" s="261"/>
      <c r="H293" s="261"/>
      <c r="I293" s="280"/>
    </row>
    <row r="294" spans="2:9" s="271" customFormat="1">
      <c r="B294" s="279"/>
      <c r="C294" s="279"/>
      <c r="D294" s="279"/>
      <c r="E294" s="280"/>
      <c r="F294" s="280"/>
      <c r="G294" s="261"/>
      <c r="H294" s="261"/>
      <c r="I294" s="280"/>
    </row>
    <row r="295" spans="2:9" s="271" customFormat="1">
      <c r="B295" s="279"/>
      <c r="C295" s="279"/>
      <c r="D295" s="279"/>
      <c r="E295" s="280"/>
      <c r="F295" s="280"/>
      <c r="G295" s="261"/>
      <c r="H295" s="261"/>
      <c r="I295" s="280"/>
    </row>
    <row r="296" spans="2:9" s="271" customFormat="1">
      <c r="B296" s="279"/>
      <c r="C296" s="279"/>
      <c r="D296" s="279"/>
      <c r="E296" s="280"/>
      <c r="F296" s="280"/>
      <c r="G296" s="261"/>
      <c r="H296" s="261"/>
      <c r="I296" s="280"/>
    </row>
    <row r="297" spans="2:9" s="271" customFormat="1">
      <c r="B297" s="279"/>
      <c r="C297" s="279"/>
      <c r="D297" s="279"/>
      <c r="E297" s="280"/>
      <c r="F297" s="280"/>
      <c r="G297" s="261"/>
      <c r="H297" s="261"/>
      <c r="I297" s="280"/>
    </row>
    <row r="298" spans="2:9" s="271" customFormat="1">
      <c r="B298" s="279"/>
      <c r="C298" s="279"/>
      <c r="D298" s="279"/>
      <c r="E298" s="280"/>
      <c r="F298" s="280"/>
      <c r="G298" s="261"/>
      <c r="H298" s="261"/>
      <c r="I298" s="280"/>
    </row>
    <row r="299" spans="2:9" s="271" customFormat="1">
      <c r="B299" s="279"/>
      <c r="C299" s="279"/>
      <c r="D299" s="279"/>
      <c r="E299" s="280"/>
      <c r="F299" s="280"/>
      <c r="G299" s="261"/>
      <c r="H299" s="261"/>
      <c r="I299" s="280"/>
    </row>
    <row r="300" spans="2:9" s="271" customFormat="1">
      <c r="B300" s="279"/>
      <c r="C300" s="279"/>
      <c r="D300" s="279"/>
      <c r="E300" s="280"/>
      <c r="F300" s="280"/>
      <c r="G300" s="261"/>
      <c r="H300" s="261"/>
      <c r="I300" s="280"/>
    </row>
    <row r="301" spans="2:9" s="271" customFormat="1">
      <c r="B301" s="279"/>
      <c r="C301" s="279"/>
      <c r="D301" s="279"/>
      <c r="E301" s="280"/>
      <c r="F301" s="280"/>
      <c r="G301" s="261"/>
      <c r="H301" s="261"/>
      <c r="I301" s="280"/>
    </row>
    <row r="302" spans="2:9" s="271" customFormat="1">
      <c r="B302" s="279"/>
      <c r="C302" s="279"/>
      <c r="D302" s="279"/>
      <c r="E302" s="280"/>
      <c r="F302" s="280"/>
      <c r="G302" s="261"/>
      <c r="H302" s="261"/>
      <c r="I302" s="280"/>
    </row>
    <row r="303" spans="2:9" s="271" customFormat="1">
      <c r="B303" s="279"/>
      <c r="C303" s="279"/>
      <c r="D303" s="279"/>
      <c r="E303" s="280"/>
      <c r="F303" s="280"/>
      <c r="G303" s="261"/>
      <c r="H303" s="261"/>
      <c r="I303" s="280"/>
    </row>
    <row r="304" spans="2:9" s="271" customFormat="1">
      <c r="B304" s="279"/>
      <c r="C304" s="279"/>
      <c r="D304" s="279"/>
      <c r="E304" s="280"/>
      <c r="F304" s="280"/>
      <c r="G304" s="261"/>
      <c r="H304" s="261"/>
      <c r="I304" s="280"/>
    </row>
    <row r="305" spans="2:9" s="271" customFormat="1">
      <c r="B305" s="279"/>
      <c r="C305" s="279"/>
      <c r="D305" s="279"/>
      <c r="E305" s="280"/>
      <c r="F305" s="280"/>
      <c r="G305" s="261"/>
      <c r="H305" s="261"/>
      <c r="I305" s="280"/>
    </row>
    <row r="306" spans="2:9" s="271" customFormat="1">
      <c r="B306" s="279"/>
      <c r="C306" s="279"/>
      <c r="D306" s="279"/>
      <c r="E306" s="280"/>
      <c r="F306" s="280"/>
      <c r="G306" s="261"/>
      <c r="H306" s="261"/>
      <c r="I306" s="280"/>
    </row>
    <row r="307" spans="2:9" s="271" customFormat="1">
      <c r="B307" s="279"/>
      <c r="C307" s="279"/>
      <c r="D307" s="279"/>
      <c r="E307" s="280"/>
      <c r="F307" s="280"/>
      <c r="G307" s="261"/>
      <c r="H307" s="261"/>
      <c r="I307" s="280"/>
    </row>
    <row r="308" spans="2:9" s="271" customFormat="1">
      <c r="B308" s="279"/>
      <c r="C308" s="279"/>
      <c r="D308" s="279"/>
      <c r="E308" s="280"/>
      <c r="F308" s="280"/>
      <c r="G308" s="261"/>
      <c r="H308" s="261"/>
      <c r="I308" s="280"/>
    </row>
    <row r="309" spans="2:9" s="271" customFormat="1">
      <c r="B309" s="279"/>
      <c r="C309" s="279"/>
      <c r="D309" s="279"/>
      <c r="E309" s="280"/>
      <c r="F309" s="280"/>
      <c r="G309" s="261"/>
      <c r="H309" s="261"/>
      <c r="I309" s="280"/>
    </row>
    <row r="310" spans="2:9" s="271" customFormat="1">
      <c r="B310" s="279"/>
      <c r="C310" s="279"/>
      <c r="D310" s="279"/>
      <c r="E310" s="280"/>
      <c r="F310" s="280"/>
      <c r="G310" s="261"/>
      <c r="H310" s="261"/>
      <c r="I310" s="280"/>
    </row>
    <row r="311" spans="2:9" s="271" customFormat="1">
      <c r="B311" s="279"/>
      <c r="C311" s="279"/>
      <c r="D311" s="279"/>
      <c r="E311" s="280"/>
      <c r="F311" s="280"/>
      <c r="G311" s="261"/>
      <c r="H311" s="261"/>
      <c r="I311" s="280"/>
    </row>
    <row r="312" spans="2:9" s="271" customFormat="1">
      <c r="B312" s="279"/>
      <c r="C312" s="279"/>
      <c r="D312" s="279"/>
      <c r="E312" s="280"/>
      <c r="F312" s="280"/>
      <c r="G312" s="261"/>
      <c r="H312" s="261"/>
      <c r="I312" s="280"/>
    </row>
    <row r="313" spans="2:9" s="271" customFormat="1">
      <c r="B313" s="279"/>
      <c r="C313" s="279"/>
      <c r="D313" s="279"/>
      <c r="E313" s="280"/>
      <c r="F313" s="280"/>
      <c r="G313" s="261"/>
      <c r="H313" s="261"/>
      <c r="I313" s="280"/>
    </row>
    <row r="314" spans="2:9" s="271" customFormat="1">
      <c r="B314" s="279"/>
      <c r="C314" s="279"/>
      <c r="D314" s="279"/>
      <c r="E314" s="280"/>
      <c r="F314" s="280"/>
      <c r="G314" s="261"/>
      <c r="H314" s="261"/>
      <c r="I314" s="280"/>
    </row>
    <row r="315" spans="2:9" s="271" customFormat="1">
      <c r="B315" s="279"/>
      <c r="C315" s="279"/>
      <c r="D315" s="279"/>
      <c r="E315" s="280"/>
      <c r="F315" s="280"/>
      <c r="G315" s="261"/>
      <c r="H315" s="261"/>
      <c r="I315" s="280"/>
    </row>
    <row r="316" spans="2:9" s="271" customFormat="1">
      <c r="B316" s="279"/>
      <c r="C316" s="279"/>
      <c r="D316" s="279"/>
      <c r="E316" s="280"/>
      <c r="F316" s="280"/>
      <c r="G316" s="261"/>
      <c r="H316" s="261"/>
      <c r="I316" s="280"/>
    </row>
    <row r="317" spans="2:9" s="271" customFormat="1">
      <c r="B317" s="279"/>
      <c r="C317" s="279"/>
      <c r="D317" s="279"/>
      <c r="E317" s="280"/>
      <c r="F317" s="280"/>
      <c r="G317" s="261"/>
      <c r="H317" s="261"/>
      <c r="I317" s="280"/>
    </row>
    <row r="318" spans="2:9" s="271" customFormat="1">
      <c r="B318" s="279"/>
      <c r="C318" s="279"/>
      <c r="D318" s="279"/>
      <c r="E318" s="280"/>
      <c r="F318" s="280"/>
      <c r="G318" s="261"/>
      <c r="H318" s="261"/>
      <c r="I318" s="280"/>
    </row>
    <row r="319" spans="2:9" s="271" customFormat="1">
      <c r="B319" s="279"/>
      <c r="C319" s="279"/>
      <c r="D319" s="279"/>
      <c r="E319" s="280"/>
      <c r="F319" s="280"/>
      <c r="G319" s="261"/>
      <c r="H319" s="261"/>
      <c r="I319" s="280"/>
    </row>
    <row r="320" spans="2:9" s="271" customFormat="1">
      <c r="B320" s="279"/>
      <c r="C320" s="279"/>
      <c r="D320" s="279"/>
      <c r="E320" s="280"/>
      <c r="F320" s="280"/>
      <c r="G320" s="261"/>
      <c r="H320" s="261"/>
      <c r="I320" s="280"/>
    </row>
    <row r="321" spans="2:9" s="271" customFormat="1">
      <c r="B321" s="279"/>
      <c r="C321" s="279"/>
      <c r="D321" s="279"/>
      <c r="E321" s="280"/>
      <c r="F321" s="280"/>
      <c r="G321" s="261"/>
      <c r="H321" s="261"/>
      <c r="I321" s="280"/>
    </row>
    <row r="322" spans="2:9" s="271" customFormat="1">
      <c r="B322" s="279"/>
      <c r="C322" s="279"/>
      <c r="D322" s="279"/>
      <c r="E322" s="280"/>
      <c r="F322" s="280"/>
      <c r="G322" s="261"/>
      <c r="H322" s="261"/>
      <c r="I322" s="280"/>
    </row>
    <row r="323" spans="2:9" s="271" customFormat="1">
      <c r="B323" s="279"/>
      <c r="C323" s="279"/>
      <c r="D323" s="279"/>
      <c r="E323" s="280"/>
      <c r="F323" s="280"/>
      <c r="G323" s="261"/>
      <c r="H323" s="261"/>
      <c r="I323" s="280"/>
    </row>
    <row r="324" spans="2:9" s="271" customFormat="1">
      <c r="B324" s="279"/>
      <c r="C324" s="279"/>
      <c r="D324" s="279"/>
      <c r="E324" s="280"/>
      <c r="F324" s="280"/>
      <c r="G324" s="261"/>
      <c r="H324" s="261"/>
      <c r="I324" s="280"/>
    </row>
    <row r="325" spans="2:9" s="271" customFormat="1">
      <c r="B325" s="279"/>
      <c r="C325" s="279"/>
      <c r="D325" s="279"/>
      <c r="E325" s="280"/>
      <c r="F325" s="280"/>
      <c r="G325" s="261"/>
      <c r="H325" s="261"/>
      <c r="I325" s="280"/>
    </row>
    <row r="326" spans="2:9" s="271" customFormat="1">
      <c r="B326" s="279"/>
      <c r="C326" s="279"/>
      <c r="D326" s="279"/>
      <c r="E326" s="280"/>
      <c r="F326" s="280"/>
      <c r="G326" s="261"/>
      <c r="H326" s="261"/>
      <c r="I326" s="280"/>
    </row>
    <row r="327" spans="2:9" s="271" customFormat="1">
      <c r="B327" s="279"/>
      <c r="C327" s="279"/>
      <c r="D327" s="279"/>
      <c r="E327" s="280"/>
      <c r="F327" s="280"/>
      <c r="G327" s="261"/>
      <c r="H327" s="261"/>
      <c r="I327" s="280"/>
    </row>
    <row r="328" spans="2:9" s="271" customFormat="1">
      <c r="B328" s="279"/>
      <c r="C328" s="279"/>
      <c r="D328" s="279"/>
      <c r="E328" s="280"/>
      <c r="F328" s="280"/>
      <c r="G328" s="261"/>
      <c r="H328" s="261"/>
      <c r="I328" s="280"/>
    </row>
    <row r="329" spans="2:9" s="271" customFormat="1">
      <c r="B329" s="279"/>
      <c r="C329" s="279"/>
      <c r="D329" s="279"/>
      <c r="E329" s="280"/>
      <c r="F329" s="280"/>
      <c r="G329" s="261"/>
      <c r="H329" s="261"/>
      <c r="I329" s="280"/>
    </row>
    <row r="330" spans="2:9" s="271" customFormat="1">
      <c r="B330" s="279"/>
      <c r="C330" s="279"/>
      <c r="D330" s="279"/>
      <c r="E330" s="280"/>
      <c r="F330" s="280"/>
      <c r="G330" s="261"/>
      <c r="H330" s="261"/>
      <c r="I330" s="280"/>
    </row>
    <row r="331" spans="2:9" s="271" customFormat="1">
      <c r="B331" s="279"/>
      <c r="C331" s="279"/>
      <c r="D331" s="279"/>
      <c r="E331" s="280"/>
      <c r="F331" s="280"/>
      <c r="G331" s="261"/>
      <c r="H331" s="261"/>
      <c r="I331" s="280"/>
    </row>
    <row r="332" spans="2:9" s="271" customFormat="1">
      <c r="B332" s="279"/>
      <c r="C332" s="279"/>
      <c r="D332" s="279"/>
      <c r="E332" s="280"/>
      <c r="F332" s="280"/>
      <c r="G332" s="261"/>
      <c r="H332" s="261"/>
      <c r="I332" s="280"/>
    </row>
    <row r="333" spans="2:9" s="271" customFormat="1">
      <c r="B333" s="279"/>
      <c r="C333" s="279"/>
      <c r="D333" s="279"/>
      <c r="E333" s="280"/>
      <c r="F333" s="280"/>
      <c r="G333" s="261"/>
      <c r="H333" s="261"/>
      <c r="I333" s="280"/>
    </row>
    <row r="334" spans="2:9" s="271" customFormat="1">
      <c r="B334" s="279"/>
      <c r="C334" s="279"/>
      <c r="D334" s="279"/>
      <c r="E334" s="280"/>
      <c r="F334" s="280"/>
      <c r="G334" s="261"/>
      <c r="H334" s="261"/>
      <c r="I334" s="280"/>
    </row>
    <row r="335" spans="2:9" s="271" customFormat="1">
      <c r="B335" s="279"/>
      <c r="C335" s="279"/>
      <c r="D335" s="279"/>
      <c r="E335" s="280"/>
      <c r="F335" s="280"/>
      <c r="G335" s="261"/>
      <c r="H335" s="261"/>
      <c r="I335" s="280"/>
    </row>
    <row r="336" spans="2:9">
      <c r="E336" s="253"/>
      <c r="F336" s="253"/>
      <c r="I336" s="253"/>
    </row>
    <row r="337" spans="5:9">
      <c r="E337" s="253"/>
      <c r="F337" s="253"/>
      <c r="I337" s="253"/>
    </row>
    <row r="338" spans="5:9">
      <c r="E338" s="253"/>
      <c r="F338" s="253"/>
      <c r="I338" s="253"/>
    </row>
    <row r="339" spans="5:9">
      <c r="E339" s="253"/>
      <c r="F339" s="253"/>
      <c r="I339" s="253"/>
    </row>
    <row r="340" spans="5:9">
      <c r="E340" s="253"/>
      <c r="F340" s="253"/>
      <c r="I340" s="253"/>
    </row>
    <row r="341" spans="5:9">
      <c r="E341" s="253"/>
      <c r="F341" s="253"/>
      <c r="I341" s="253"/>
    </row>
    <row r="342" spans="5:9">
      <c r="E342" s="253"/>
      <c r="F342" s="253"/>
      <c r="I342" s="253"/>
    </row>
    <row r="343" spans="5:9">
      <c r="E343" s="253"/>
      <c r="F343" s="253"/>
      <c r="I343" s="253"/>
    </row>
    <row r="344" spans="5:9">
      <c r="E344" s="253"/>
      <c r="F344" s="253"/>
      <c r="I344" s="253"/>
    </row>
    <row r="345" spans="5:9">
      <c r="E345" s="253"/>
      <c r="F345" s="253"/>
      <c r="I345" s="253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385"/>
  <sheetViews>
    <sheetView topLeftCell="E2" workbookViewId="0">
      <selection activeCell="L179" sqref="L179"/>
    </sheetView>
  </sheetViews>
  <sheetFormatPr defaultColWidth="9.33203125" defaultRowHeight="14.4"/>
  <cols>
    <col min="1" max="1" width="4.6640625" style="250" bestFit="1" customWidth="1"/>
    <col min="2" max="2" width="11.77734375" style="249" bestFit="1" customWidth="1"/>
    <col min="3" max="3" width="11.77734375" style="249" hidden="1" customWidth="1"/>
    <col min="4" max="4" width="17.33203125" style="249" customWidth="1"/>
    <col min="5" max="6" width="16.6640625" style="250" bestFit="1" customWidth="1"/>
    <col min="7" max="7" width="16.6640625" style="251" bestFit="1" customWidth="1"/>
    <col min="8" max="8" width="15.44140625" style="251" customWidth="1"/>
    <col min="9" max="9" width="16.6640625" style="250" bestFit="1" customWidth="1"/>
    <col min="10" max="10" width="9.77734375" style="250" bestFit="1" customWidth="1"/>
    <col min="11" max="11" width="16.6640625" style="250" bestFit="1" customWidth="1"/>
    <col min="12" max="12" width="15.44140625" style="250" bestFit="1" customWidth="1"/>
    <col min="13" max="13" width="16.77734375" style="250" customWidth="1"/>
    <col min="14" max="14" width="18.6640625" style="250" customWidth="1"/>
    <col min="15" max="22" width="19" style="250" bestFit="1" customWidth="1"/>
    <col min="23" max="24" width="18.77734375" style="250" bestFit="1" customWidth="1"/>
    <col min="25" max="25" width="16.77734375" style="250" bestFit="1" customWidth="1"/>
    <col min="26" max="26" width="9.33203125" style="250"/>
    <col min="27" max="27" width="20" style="250" bestFit="1" customWidth="1"/>
    <col min="28" max="16384" width="9.33203125" style="250"/>
  </cols>
  <sheetData>
    <row r="1" spans="2:27" hidden="1">
      <c r="B1" s="249" t="s">
        <v>95</v>
      </c>
      <c r="E1" s="250">
        <v>4.55</v>
      </c>
    </row>
    <row r="3" spans="2:27">
      <c r="B3" s="384" t="s">
        <v>129</v>
      </c>
      <c r="C3" s="384"/>
      <c r="D3" s="384"/>
      <c r="E3" s="384"/>
      <c r="F3" s="384"/>
      <c r="G3" s="384"/>
      <c r="H3" s="384"/>
      <c r="I3" s="384"/>
    </row>
    <row r="4" spans="2:27">
      <c r="B4" s="252" t="s">
        <v>186</v>
      </c>
      <c r="E4" s="251">
        <v>17000000</v>
      </c>
      <c r="F4" s="253" t="s">
        <v>97</v>
      </c>
      <c r="M4" s="250">
        <v>2024</v>
      </c>
      <c r="N4" s="250">
        <f t="shared" ref="N4:U4" si="0">M4+1</f>
        <v>2025</v>
      </c>
      <c r="O4" s="250">
        <f t="shared" si="0"/>
        <v>2026</v>
      </c>
      <c r="P4" s="250">
        <f t="shared" si="0"/>
        <v>2027</v>
      </c>
      <c r="Q4" s="250">
        <f t="shared" si="0"/>
        <v>2028</v>
      </c>
      <c r="R4" s="250">
        <f t="shared" si="0"/>
        <v>2029</v>
      </c>
      <c r="S4" s="250">
        <f t="shared" si="0"/>
        <v>2030</v>
      </c>
      <c r="T4" s="250">
        <f t="shared" si="0"/>
        <v>2031</v>
      </c>
      <c r="U4" s="250">
        <f t="shared" si="0"/>
        <v>2032</v>
      </c>
      <c r="V4" s="250">
        <f t="shared" ref="V4" si="1">U4+1</f>
        <v>2033</v>
      </c>
      <c r="W4" s="250">
        <f t="shared" ref="W4" si="2">V4+1</f>
        <v>2034</v>
      </c>
      <c r="X4" s="250">
        <f t="shared" ref="X4" si="3">W4+1</f>
        <v>2035</v>
      </c>
      <c r="Y4" s="250">
        <f t="shared" ref="Y4" si="4">X4+1</f>
        <v>2036</v>
      </c>
    </row>
    <row r="5" spans="2:27">
      <c r="B5" s="374"/>
      <c r="C5" s="254"/>
      <c r="D5" s="254"/>
      <c r="E5" s="376"/>
      <c r="F5" s="377"/>
    </row>
    <row r="6" spans="2:27">
      <c r="B6" s="374" t="s">
        <v>187</v>
      </c>
      <c r="E6" s="257">
        <v>6.08E-2</v>
      </c>
      <c r="L6" s="250" t="s">
        <v>58</v>
      </c>
      <c r="M6" s="253">
        <f>K37</f>
        <v>0</v>
      </c>
      <c r="N6" s="253">
        <f>K49</f>
        <v>0</v>
      </c>
      <c r="O6" s="357">
        <f>K61</f>
        <v>1133333.3333333333</v>
      </c>
      <c r="P6" s="357">
        <f>K73</f>
        <v>1700000.0000000002</v>
      </c>
      <c r="Q6" s="357">
        <f>K85</f>
        <v>1700000.0000000002</v>
      </c>
      <c r="R6" s="357">
        <f>K97</f>
        <v>1700000.0000000002</v>
      </c>
      <c r="S6" s="357">
        <f>K109</f>
        <v>1700000.0000000002</v>
      </c>
      <c r="T6" s="357">
        <f>K121</f>
        <v>1700000.0000000002</v>
      </c>
      <c r="U6" s="357">
        <f>K133</f>
        <v>1700000.0000000002</v>
      </c>
      <c r="V6" s="357">
        <f>K145</f>
        <v>1700000.0000000002</v>
      </c>
      <c r="W6" s="253">
        <f>K157</f>
        <v>1700000.0000000002</v>
      </c>
      <c r="X6" s="253">
        <f>K169</f>
        <v>1700000.0000000002</v>
      </c>
      <c r="Y6" s="253">
        <f>K173</f>
        <v>566666.66666666663</v>
      </c>
      <c r="AA6" s="357">
        <f>SUM(M6:Z6)</f>
        <v>17000000</v>
      </c>
    </row>
    <row r="7" spans="2:27">
      <c r="B7" s="249" t="s">
        <v>22</v>
      </c>
      <c r="E7" s="257">
        <v>1.4999999999999999E-2</v>
      </c>
      <c r="L7" s="250" t="s">
        <v>20</v>
      </c>
      <c r="M7" s="253">
        <f>L37</f>
        <v>33288.833333333336</v>
      </c>
      <c r="N7" s="253">
        <f>L49</f>
        <v>709803.83333333337</v>
      </c>
      <c r="O7" s="253">
        <f>L61</f>
        <v>1280934.0231481486</v>
      </c>
      <c r="P7" s="253">
        <f>L73</f>
        <v>1159232.9120370378</v>
      </c>
      <c r="Q7" s="253">
        <f>L85</f>
        <v>1031536.2314814826</v>
      </c>
      <c r="R7" s="253">
        <f>L97</f>
        <v>897933.46759259433</v>
      </c>
      <c r="S7" s="253">
        <f>L109</f>
        <v>767283.74537037255</v>
      </c>
      <c r="T7" s="253">
        <f>L121</f>
        <v>636634.02314815077</v>
      </c>
      <c r="U7" s="253">
        <f>L133</f>
        <v>507505.56481481728</v>
      </c>
      <c r="V7" s="253">
        <f>L145</f>
        <v>375334.5787037058</v>
      </c>
      <c r="W7" s="253">
        <f>L157</f>
        <v>244684.85648148358</v>
      </c>
      <c r="X7" s="253">
        <f>L169</f>
        <v>114035.13425926144</v>
      </c>
      <c r="Y7" s="253">
        <f>L173</f>
        <v>9038.0972222229393</v>
      </c>
      <c r="AA7" s="357">
        <f>SUM(M7:Z7)</f>
        <v>7767245.300925944</v>
      </c>
    </row>
    <row r="8" spans="2:27">
      <c r="B8" s="375" t="s">
        <v>189</v>
      </c>
      <c r="C8" s="254"/>
      <c r="D8" s="254"/>
      <c r="E8" s="258">
        <f>E6+E7</f>
        <v>7.5800000000000006E-2</v>
      </c>
      <c r="M8" s="253">
        <f>E9</f>
        <v>34000</v>
      </c>
    </row>
    <row r="9" spans="2:27">
      <c r="B9" s="259" t="s">
        <v>188</v>
      </c>
      <c r="E9" s="260">
        <f>0.2%*E4</f>
        <v>34000</v>
      </c>
      <c r="M9" s="357">
        <f t="shared" ref="M9:T9" si="5">SUM(M6:M7)</f>
        <v>33288.833333333336</v>
      </c>
      <c r="N9" s="357">
        <f t="shared" si="5"/>
        <v>709803.83333333337</v>
      </c>
      <c r="O9" s="357">
        <f t="shared" si="5"/>
        <v>2414267.3564814818</v>
      </c>
      <c r="P9" s="357">
        <f t="shared" si="5"/>
        <v>2859232.9120370382</v>
      </c>
      <c r="Q9" s="357">
        <f t="shared" si="5"/>
        <v>2731536.2314814827</v>
      </c>
      <c r="R9" s="357">
        <f t="shared" si="5"/>
        <v>2597933.4675925947</v>
      </c>
      <c r="S9" s="357">
        <f t="shared" si="5"/>
        <v>2467283.7453703727</v>
      </c>
      <c r="T9" s="357">
        <f t="shared" si="5"/>
        <v>2336634.0231481511</v>
      </c>
      <c r="U9" s="357">
        <f>SUM(U6:U7)</f>
        <v>2207505.5648148176</v>
      </c>
      <c r="V9" s="357">
        <f t="shared" ref="V9:Y9" si="6">SUM(V6:V7)</f>
        <v>2075334.5787037062</v>
      </c>
      <c r="W9" s="357">
        <f t="shared" si="6"/>
        <v>1944684.8564814839</v>
      </c>
      <c r="X9" s="357">
        <f t="shared" si="6"/>
        <v>1814035.1342592617</v>
      </c>
      <c r="Y9" s="357">
        <f t="shared" si="6"/>
        <v>575704.76388888957</v>
      </c>
    </row>
    <row r="10" spans="2:27">
      <c r="B10" s="259"/>
      <c r="E10" s="261"/>
    </row>
    <row r="11" spans="2:27" hidden="1">
      <c r="B11" s="249">
        <v>43100</v>
      </c>
      <c r="E11" s="257"/>
      <c r="F11" s="257"/>
    </row>
    <row r="12" spans="2:27">
      <c r="B12" s="262" t="s">
        <v>98</v>
      </c>
      <c r="C12" s="262"/>
      <c r="D12" s="262" t="s">
        <v>99</v>
      </c>
      <c r="E12" s="263" t="s">
        <v>100</v>
      </c>
      <c r="F12" s="262" t="s">
        <v>36</v>
      </c>
      <c r="G12" s="264" t="s">
        <v>32</v>
      </c>
      <c r="H12" s="264" t="s">
        <v>17</v>
      </c>
      <c r="I12" s="262" t="s">
        <v>40</v>
      </c>
    </row>
    <row r="13" spans="2:27">
      <c r="B13" s="265">
        <v>1</v>
      </c>
      <c r="C13" s="265"/>
      <c r="D13" s="265">
        <v>2</v>
      </c>
      <c r="E13" s="265">
        <v>3</v>
      </c>
      <c r="F13" s="265">
        <v>4</v>
      </c>
      <c r="G13" s="265">
        <v>5</v>
      </c>
      <c r="H13" s="265">
        <v>6</v>
      </c>
      <c r="I13" s="265" t="s">
        <v>101</v>
      </c>
    </row>
    <row r="14" spans="2:27" hidden="1">
      <c r="B14" s="266">
        <v>44227</v>
      </c>
      <c r="C14" s="266">
        <f t="shared" ref="C14:C23" si="7">B15</f>
        <v>44255</v>
      </c>
      <c r="D14" s="267"/>
      <c r="E14" s="268"/>
      <c r="F14" s="268"/>
      <c r="G14" s="267">
        <f>(B14-B11)*E8*F14/360</f>
        <v>0</v>
      </c>
      <c r="H14" s="267"/>
      <c r="I14" s="269"/>
    </row>
    <row r="15" spans="2:27" hidden="1">
      <c r="B15" s="266">
        <f>EOMONTH(B14,1)</f>
        <v>44255</v>
      </c>
      <c r="C15" s="266">
        <f t="shared" si="7"/>
        <v>44286</v>
      </c>
      <c r="D15" s="267"/>
      <c r="E15" s="268"/>
      <c r="F15" s="268"/>
      <c r="G15" s="267">
        <f>(B15-B14)*$E$8*F15/360</f>
        <v>0</v>
      </c>
      <c r="H15" s="267"/>
      <c r="I15" s="268">
        <f>E15+G15</f>
        <v>0</v>
      </c>
    </row>
    <row r="16" spans="2:27" hidden="1">
      <c r="B16" s="266">
        <f>EOMONTH(B15,1)</f>
        <v>44286</v>
      </c>
      <c r="C16" s="266">
        <f t="shared" si="7"/>
        <v>44316</v>
      </c>
      <c r="D16" s="270"/>
      <c r="E16" s="268"/>
      <c r="F16" s="270"/>
      <c r="G16" s="267">
        <f t="shared" ref="G16:G22" si="8">(B16-B15)*$E$8*F16/360</f>
        <v>0</v>
      </c>
      <c r="H16" s="267"/>
      <c r="I16" s="268">
        <f>E16+G16</f>
        <v>0</v>
      </c>
    </row>
    <row r="17" spans="1:12" hidden="1">
      <c r="B17" s="266">
        <f t="shared" ref="B17:B18" si="9">EOMONTH(B16,1)</f>
        <v>44316</v>
      </c>
      <c r="C17" s="266">
        <f t="shared" si="7"/>
        <v>44347</v>
      </c>
      <c r="D17" s="266"/>
      <c r="E17" s="268"/>
      <c r="F17" s="270"/>
      <c r="G17" s="267">
        <f t="shared" si="8"/>
        <v>0</v>
      </c>
      <c r="H17" s="267"/>
      <c r="I17" s="270">
        <f t="shared" ref="I17:I80" si="10">E17+G17</f>
        <v>0</v>
      </c>
    </row>
    <row r="18" spans="1:12" hidden="1">
      <c r="B18" s="266">
        <f t="shared" si="9"/>
        <v>44347</v>
      </c>
      <c r="C18" s="266">
        <f t="shared" si="7"/>
        <v>44348</v>
      </c>
      <c r="D18" s="270"/>
      <c r="E18" s="268"/>
      <c r="F18" s="270"/>
      <c r="G18" s="267">
        <f t="shared" si="8"/>
        <v>0</v>
      </c>
      <c r="H18" s="267"/>
      <c r="I18" s="270">
        <f t="shared" si="10"/>
        <v>0</v>
      </c>
    </row>
    <row r="19" spans="1:12" hidden="1">
      <c r="B19" s="266">
        <v>44348</v>
      </c>
      <c r="C19" s="266">
        <f t="shared" si="7"/>
        <v>44378</v>
      </c>
      <c r="D19" s="270"/>
      <c r="E19" s="268"/>
      <c r="F19" s="270"/>
      <c r="G19" s="267">
        <f t="shared" si="8"/>
        <v>0</v>
      </c>
      <c r="H19" s="267"/>
      <c r="I19" s="270">
        <f t="shared" si="10"/>
        <v>0</v>
      </c>
    </row>
    <row r="20" spans="1:12" hidden="1">
      <c r="B20" s="266">
        <f>EOMONTH(B19,0)+1</f>
        <v>44378</v>
      </c>
      <c r="C20" s="266">
        <f t="shared" si="7"/>
        <v>44409</v>
      </c>
      <c r="D20" s="350"/>
      <c r="E20" s="268"/>
      <c r="F20" s="270"/>
      <c r="G20" s="267">
        <f t="shared" si="8"/>
        <v>0</v>
      </c>
      <c r="H20" s="267"/>
      <c r="I20" s="270">
        <f t="shared" si="10"/>
        <v>0</v>
      </c>
    </row>
    <row r="21" spans="1:12" hidden="1">
      <c r="B21" s="266">
        <f t="shared" ref="B21:B24" si="11">EOMONTH(B20,0)+1</f>
        <v>44409</v>
      </c>
      <c r="C21" s="266">
        <f t="shared" si="7"/>
        <v>44440</v>
      </c>
      <c r="D21" s="350"/>
      <c r="E21" s="268">
        <f t="shared" ref="E21:E84" si="12">E20</f>
        <v>0</v>
      </c>
      <c r="F21" s="270">
        <v>0</v>
      </c>
      <c r="G21" s="267">
        <f t="shared" si="8"/>
        <v>0</v>
      </c>
      <c r="H21" s="267"/>
      <c r="I21" s="270">
        <f t="shared" si="10"/>
        <v>0</v>
      </c>
    </row>
    <row r="22" spans="1:12" hidden="1">
      <c r="B22" s="266">
        <f t="shared" si="11"/>
        <v>44440</v>
      </c>
      <c r="C22" s="266">
        <f t="shared" si="7"/>
        <v>44470</v>
      </c>
      <c r="D22" s="351"/>
      <c r="E22" s="268">
        <f>E21</f>
        <v>0</v>
      </c>
      <c r="F22" s="270">
        <f>F21-E21</f>
        <v>0</v>
      </c>
      <c r="G22" s="267">
        <f t="shared" si="8"/>
        <v>0</v>
      </c>
      <c r="H22" s="267"/>
      <c r="I22" s="270">
        <f t="shared" si="10"/>
        <v>0</v>
      </c>
    </row>
    <row r="23" spans="1:12" s="271" customFormat="1" hidden="1">
      <c r="A23" s="250"/>
      <c r="B23" s="272">
        <f t="shared" si="11"/>
        <v>44470</v>
      </c>
      <c r="C23" s="272">
        <f t="shared" si="7"/>
        <v>44501</v>
      </c>
      <c r="D23" s="352"/>
      <c r="E23" s="274">
        <f t="shared" si="12"/>
        <v>0</v>
      </c>
      <c r="F23" s="275">
        <f>D23</f>
        <v>0</v>
      </c>
      <c r="G23" s="273">
        <f>J23*$E$8*F23/360</f>
        <v>0</v>
      </c>
      <c r="H23" s="273"/>
      <c r="I23" s="275">
        <f t="shared" si="10"/>
        <v>0</v>
      </c>
    </row>
    <row r="24" spans="1:12" s="271" customFormat="1" hidden="1">
      <c r="A24" s="250"/>
      <c r="B24" s="272">
        <f t="shared" si="11"/>
        <v>44501</v>
      </c>
      <c r="C24" s="272">
        <f>B25</f>
        <v>44926</v>
      </c>
      <c r="D24" s="353"/>
      <c r="E24" s="274"/>
      <c r="F24" s="275">
        <f>F23-E24</f>
        <v>0</v>
      </c>
      <c r="G24" s="273">
        <f t="shared" ref="G24:G87" si="13">J24*$E$8*F24/360</f>
        <v>0</v>
      </c>
      <c r="H24" s="273"/>
      <c r="I24" s="275">
        <f t="shared" si="10"/>
        <v>0</v>
      </c>
    </row>
    <row r="25" spans="1:12" s="281" customFormat="1">
      <c r="B25" s="282">
        <v>44926</v>
      </c>
      <c r="C25" s="282" t="e">
        <f>#REF!</f>
        <v>#REF!</v>
      </c>
      <c r="D25" s="354">
        <v>0</v>
      </c>
      <c r="E25" s="283"/>
      <c r="F25" s="284">
        <f>F24-E25+D25</f>
        <v>0</v>
      </c>
      <c r="G25" s="285">
        <f t="shared" si="13"/>
        <v>0</v>
      </c>
      <c r="H25" s="285">
        <f>E9</f>
        <v>34000</v>
      </c>
      <c r="I25" s="284">
        <f>H25+G25</f>
        <v>34000</v>
      </c>
      <c r="J25" s="281">
        <f t="shared" ref="J25:J26" si="14">B26-B25</f>
        <v>396</v>
      </c>
      <c r="L25" s="286">
        <f>SUM(G23:G25)</f>
        <v>0</v>
      </c>
    </row>
    <row r="26" spans="1:12" s="271" customFormat="1">
      <c r="B26" s="272">
        <v>45322</v>
      </c>
      <c r="C26" s="272">
        <f>B27</f>
        <v>45351</v>
      </c>
      <c r="D26" s="352"/>
      <c r="E26" s="274"/>
      <c r="F26" s="275">
        <f>F25-E26+D26</f>
        <v>0</v>
      </c>
      <c r="G26" s="273">
        <f t="shared" si="13"/>
        <v>0</v>
      </c>
      <c r="H26" s="273"/>
      <c r="I26" s="275">
        <f t="shared" si="10"/>
        <v>0</v>
      </c>
      <c r="J26" s="271">
        <f t="shared" si="14"/>
        <v>29</v>
      </c>
    </row>
    <row r="27" spans="1:12" s="271" customFormat="1">
      <c r="B27" s="272">
        <f t="shared" ref="B27:B90" si="15">EOMONTH(B26,1)</f>
        <v>45351</v>
      </c>
      <c r="C27" s="272">
        <f>B28</f>
        <v>45382</v>
      </c>
      <c r="D27" s="352"/>
      <c r="E27" s="274"/>
      <c r="F27" s="275">
        <f>F26-E27+D27</f>
        <v>0</v>
      </c>
      <c r="G27" s="273">
        <f t="shared" si="13"/>
        <v>0</v>
      </c>
      <c r="H27" s="273"/>
      <c r="I27" s="275">
        <f t="shared" si="10"/>
        <v>0</v>
      </c>
      <c r="J27" s="271">
        <f>B28-B27</f>
        <v>31</v>
      </c>
    </row>
    <row r="28" spans="1:12" s="271" customFormat="1">
      <c r="B28" s="272">
        <f t="shared" si="15"/>
        <v>45382</v>
      </c>
      <c r="C28" s="272">
        <f>B29</f>
        <v>45412</v>
      </c>
      <c r="D28" s="353"/>
      <c r="E28" s="274"/>
      <c r="F28" s="275">
        <f t="shared" ref="F28:F36" si="16">F27-E28+D28</f>
        <v>0</v>
      </c>
      <c r="G28" s="273">
        <f t="shared" si="13"/>
        <v>0</v>
      </c>
      <c r="H28" s="273"/>
      <c r="I28" s="275">
        <f t="shared" si="10"/>
        <v>0</v>
      </c>
      <c r="J28" s="271">
        <f>(B28-B27)</f>
        <v>31</v>
      </c>
    </row>
    <row r="29" spans="1:12" s="271" customFormat="1">
      <c r="B29" s="272">
        <f t="shared" si="15"/>
        <v>45412</v>
      </c>
      <c r="C29" s="272">
        <f t="shared" ref="C29:C92" si="17">B30</f>
        <v>45443</v>
      </c>
      <c r="D29" s="355"/>
      <c r="E29" s="274"/>
      <c r="F29" s="275">
        <f t="shared" si="16"/>
        <v>0</v>
      </c>
      <c r="G29" s="273">
        <f t="shared" si="13"/>
        <v>0</v>
      </c>
      <c r="H29" s="273"/>
      <c r="I29" s="275">
        <f t="shared" si="10"/>
        <v>0</v>
      </c>
      <c r="J29" s="271">
        <f t="shared" ref="J29:J92" si="18">(B29-B28)</f>
        <v>30</v>
      </c>
    </row>
    <row r="30" spans="1:12" s="271" customFormat="1">
      <c r="A30" s="271">
        <v>1</v>
      </c>
      <c r="B30" s="272">
        <f t="shared" si="15"/>
        <v>45443</v>
      </c>
      <c r="C30" s="272">
        <f t="shared" si="17"/>
        <v>45473</v>
      </c>
      <c r="D30" s="355"/>
      <c r="E30" s="274"/>
      <c r="F30" s="275">
        <f>F29-E30+D30</f>
        <v>0</v>
      </c>
      <c r="G30" s="273">
        <f t="shared" si="13"/>
        <v>0</v>
      </c>
      <c r="H30" s="273"/>
      <c r="I30" s="275">
        <f t="shared" si="10"/>
        <v>0</v>
      </c>
      <c r="J30" s="271">
        <f t="shared" si="18"/>
        <v>31</v>
      </c>
    </row>
    <row r="31" spans="1:12" s="271" customFormat="1">
      <c r="A31" s="271">
        <f t="shared" ref="A31:A89" si="19">A30+1</f>
        <v>2</v>
      </c>
      <c r="B31" s="272">
        <f t="shared" si="15"/>
        <v>45473</v>
      </c>
      <c r="C31" s="272">
        <f t="shared" si="17"/>
        <v>45504</v>
      </c>
      <c r="D31" s="355"/>
      <c r="E31" s="274"/>
      <c r="F31" s="274">
        <f t="shared" si="16"/>
        <v>0</v>
      </c>
      <c r="G31" s="273">
        <f t="shared" si="13"/>
        <v>0</v>
      </c>
      <c r="H31" s="273"/>
      <c r="I31" s="275">
        <f t="shared" si="10"/>
        <v>0</v>
      </c>
      <c r="J31" s="271">
        <f t="shared" si="18"/>
        <v>30</v>
      </c>
    </row>
    <row r="32" spans="1:12" s="271" customFormat="1">
      <c r="A32" s="271">
        <f t="shared" si="19"/>
        <v>3</v>
      </c>
      <c r="B32" s="272">
        <f t="shared" si="15"/>
        <v>45504</v>
      </c>
      <c r="C32" s="272">
        <f t="shared" si="17"/>
        <v>45535</v>
      </c>
      <c r="D32" s="355"/>
      <c r="E32" s="274"/>
      <c r="F32" s="274">
        <f t="shared" si="16"/>
        <v>0</v>
      </c>
      <c r="G32" s="273">
        <f t="shared" si="13"/>
        <v>0</v>
      </c>
      <c r="H32" s="273"/>
      <c r="I32" s="275">
        <f t="shared" si="10"/>
        <v>0</v>
      </c>
      <c r="J32" s="271">
        <f t="shared" si="18"/>
        <v>31</v>
      </c>
    </row>
    <row r="33" spans="1:12" s="271" customFormat="1">
      <c r="A33" s="271">
        <f t="shared" si="19"/>
        <v>4</v>
      </c>
      <c r="B33" s="272">
        <f t="shared" si="15"/>
        <v>45535</v>
      </c>
      <c r="C33" s="272">
        <f t="shared" si="17"/>
        <v>45565</v>
      </c>
      <c r="D33" s="355"/>
      <c r="E33" s="274"/>
      <c r="F33" s="274">
        <f t="shared" si="16"/>
        <v>0</v>
      </c>
      <c r="G33" s="273">
        <f t="shared" si="13"/>
        <v>0</v>
      </c>
      <c r="H33" s="273"/>
      <c r="I33" s="275">
        <f t="shared" si="10"/>
        <v>0</v>
      </c>
      <c r="J33" s="271">
        <f t="shared" si="18"/>
        <v>31</v>
      </c>
    </row>
    <row r="34" spans="1:12" s="271" customFormat="1">
      <c r="A34" s="271">
        <f t="shared" si="19"/>
        <v>5</v>
      </c>
      <c r="B34" s="272">
        <f t="shared" si="15"/>
        <v>45565</v>
      </c>
      <c r="C34" s="272">
        <f t="shared" si="17"/>
        <v>45596</v>
      </c>
      <c r="D34" s="355"/>
      <c r="E34" s="274"/>
      <c r="F34" s="274">
        <f t="shared" si="16"/>
        <v>0</v>
      </c>
      <c r="G34" s="273">
        <f t="shared" si="13"/>
        <v>0</v>
      </c>
      <c r="H34" s="273"/>
      <c r="I34" s="275">
        <f t="shared" si="10"/>
        <v>0</v>
      </c>
      <c r="J34" s="271">
        <f t="shared" si="18"/>
        <v>30</v>
      </c>
    </row>
    <row r="35" spans="1:12" s="271" customFormat="1">
      <c r="A35" s="271">
        <f t="shared" si="19"/>
        <v>6</v>
      </c>
      <c r="B35" s="272">
        <f t="shared" si="15"/>
        <v>45596</v>
      </c>
      <c r="C35" s="272">
        <f t="shared" si="17"/>
        <v>45626</v>
      </c>
      <c r="D35" s="355"/>
      <c r="E35" s="274"/>
      <c r="F35" s="274">
        <f t="shared" si="16"/>
        <v>0</v>
      </c>
      <c r="G35" s="273">
        <f t="shared" si="13"/>
        <v>0</v>
      </c>
      <c r="H35" s="273"/>
      <c r="I35" s="275">
        <f t="shared" si="10"/>
        <v>0</v>
      </c>
      <c r="J35" s="271">
        <f t="shared" si="18"/>
        <v>31</v>
      </c>
    </row>
    <row r="36" spans="1:12" s="271" customFormat="1">
      <c r="A36" s="271">
        <f t="shared" si="19"/>
        <v>7</v>
      </c>
      <c r="B36" s="272">
        <f t="shared" si="15"/>
        <v>45626</v>
      </c>
      <c r="C36" s="272">
        <f t="shared" si="17"/>
        <v>45657</v>
      </c>
      <c r="D36" s="355"/>
      <c r="E36" s="274">
        <f t="shared" si="12"/>
        <v>0</v>
      </c>
      <c r="F36" s="274">
        <f t="shared" si="16"/>
        <v>0</v>
      </c>
      <c r="G36" s="273">
        <f t="shared" si="13"/>
        <v>0</v>
      </c>
      <c r="H36" s="273"/>
      <c r="I36" s="275">
        <f t="shared" si="10"/>
        <v>0</v>
      </c>
      <c r="J36" s="271">
        <f t="shared" si="18"/>
        <v>30</v>
      </c>
    </row>
    <row r="37" spans="1:12" s="281" customFormat="1">
      <c r="A37" s="281">
        <f t="shared" si="19"/>
        <v>8</v>
      </c>
      <c r="B37" s="282">
        <f t="shared" si="15"/>
        <v>45657</v>
      </c>
      <c r="C37" s="282">
        <f t="shared" si="17"/>
        <v>45688</v>
      </c>
      <c r="D37" s="349">
        <f>0.3*E4</f>
        <v>5100000</v>
      </c>
      <c r="E37" s="283"/>
      <c r="F37" s="283">
        <f>F36-E36+D37</f>
        <v>5100000</v>
      </c>
      <c r="G37" s="285">
        <f t="shared" si="13"/>
        <v>33288.833333333336</v>
      </c>
      <c r="H37" s="285"/>
      <c r="I37" s="284">
        <f t="shared" si="10"/>
        <v>33288.833333333336</v>
      </c>
      <c r="J37" s="281">
        <f t="shared" si="18"/>
        <v>31</v>
      </c>
      <c r="K37" s="286">
        <f>SUM(E26:E37)</f>
        <v>0</v>
      </c>
      <c r="L37" s="286">
        <f>SUM(G26:G37)</f>
        <v>33288.833333333336</v>
      </c>
    </row>
    <row r="38" spans="1:12" s="271" customFormat="1">
      <c r="A38" s="271">
        <f t="shared" si="19"/>
        <v>9</v>
      </c>
      <c r="B38" s="272">
        <f t="shared" si="15"/>
        <v>45688</v>
      </c>
      <c r="C38" s="272">
        <f t="shared" si="17"/>
        <v>45716</v>
      </c>
      <c r="D38" s="355"/>
      <c r="E38" s="274"/>
      <c r="F38" s="274">
        <f t="shared" ref="F38:F47" si="20">F37-E37+D38</f>
        <v>5100000</v>
      </c>
      <c r="G38" s="273">
        <f t="shared" si="13"/>
        <v>33288.833333333336</v>
      </c>
      <c r="H38" s="273"/>
      <c r="I38" s="275">
        <f t="shared" si="10"/>
        <v>33288.833333333336</v>
      </c>
      <c r="J38" s="271">
        <f t="shared" si="18"/>
        <v>31</v>
      </c>
    </row>
    <row r="39" spans="1:12" s="271" customFormat="1">
      <c r="A39" s="271">
        <f t="shared" si="19"/>
        <v>10</v>
      </c>
      <c r="B39" s="272">
        <f t="shared" si="15"/>
        <v>45716</v>
      </c>
      <c r="C39" s="272">
        <f t="shared" si="17"/>
        <v>45747</v>
      </c>
      <c r="D39" s="355"/>
      <c r="E39" s="274"/>
      <c r="F39" s="274">
        <f t="shared" si="20"/>
        <v>5100000</v>
      </c>
      <c r="G39" s="273">
        <f t="shared" si="13"/>
        <v>30067.333333333339</v>
      </c>
      <c r="H39" s="273"/>
      <c r="I39" s="275">
        <f t="shared" si="10"/>
        <v>30067.333333333339</v>
      </c>
      <c r="J39" s="271">
        <f t="shared" si="18"/>
        <v>28</v>
      </c>
    </row>
    <row r="40" spans="1:12" s="271" customFormat="1">
      <c r="A40" s="271">
        <f t="shared" si="19"/>
        <v>11</v>
      </c>
      <c r="B40" s="272">
        <f t="shared" si="15"/>
        <v>45747</v>
      </c>
      <c r="C40" s="272">
        <f t="shared" si="17"/>
        <v>45777</v>
      </c>
      <c r="D40" s="355"/>
      <c r="E40" s="274"/>
      <c r="F40" s="274">
        <f t="shared" si="20"/>
        <v>5100000</v>
      </c>
      <c r="G40" s="273">
        <f t="shared" si="13"/>
        <v>33288.833333333336</v>
      </c>
      <c r="H40" s="273"/>
      <c r="I40" s="275">
        <f t="shared" si="10"/>
        <v>33288.833333333336</v>
      </c>
      <c r="J40" s="271">
        <f t="shared" si="18"/>
        <v>31</v>
      </c>
    </row>
    <row r="41" spans="1:12" s="271" customFormat="1">
      <c r="A41" s="271">
        <f t="shared" si="19"/>
        <v>12</v>
      </c>
      <c r="B41" s="272">
        <f t="shared" si="15"/>
        <v>45777</v>
      </c>
      <c r="C41" s="272">
        <f t="shared" si="17"/>
        <v>45808</v>
      </c>
      <c r="D41" s="355"/>
      <c r="E41" s="274"/>
      <c r="F41" s="274">
        <f t="shared" si="20"/>
        <v>5100000</v>
      </c>
      <c r="G41" s="273">
        <f t="shared" si="13"/>
        <v>32215</v>
      </c>
      <c r="H41" s="273"/>
      <c r="I41" s="275">
        <f t="shared" si="10"/>
        <v>32215</v>
      </c>
      <c r="J41" s="271">
        <f t="shared" si="18"/>
        <v>30</v>
      </c>
    </row>
    <row r="42" spans="1:12" s="271" customFormat="1">
      <c r="A42" s="271">
        <f t="shared" si="19"/>
        <v>13</v>
      </c>
      <c r="B42" s="272">
        <f t="shared" si="15"/>
        <v>45808</v>
      </c>
      <c r="C42" s="272">
        <f t="shared" si="17"/>
        <v>45838</v>
      </c>
      <c r="D42" s="355"/>
      <c r="E42" s="274"/>
      <c r="F42" s="274">
        <f t="shared" si="20"/>
        <v>5100000</v>
      </c>
      <c r="G42" s="273">
        <f t="shared" si="13"/>
        <v>33288.833333333336</v>
      </c>
      <c r="H42" s="273"/>
      <c r="I42" s="275">
        <f t="shared" si="10"/>
        <v>33288.833333333336</v>
      </c>
      <c r="J42" s="271">
        <f t="shared" si="18"/>
        <v>31</v>
      </c>
    </row>
    <row r="43" spans="1:12" s="271" customFormat="1">
      <c r="A43" s="271">
        <f t="shared" si="19"/>
        <v>14</v>
      </c>
      <c r="B43" s="272">
        <f t="shared" si="15"/>
        <v>45838</v>
      </c>
      <c r="C43" s="272">
        <f t="shared" si="17"/>
        <v>45869</v>
      </c>
      <c r="D43" s="355"/>
      <c r="E43" s="274"/>
      <c r="F43" s="274">
        <f t="shared" si="20"/>
        <v>5100000</v>
      </c>
      <c r="G43" s="273">
        <f t="shared" si="13"/>
        <v>32215</v>
      </c>
      <c r="H43" s="273"/>
      <c r="I43" s="275">
        <f t="shared" si="10"/>
        <v>32215</v>
      </c>
      <c r="J43" s="271">
        <f t="shared" si="18"/>
        <v>30</v>
      </c>
    </row>
    <row r="44" spans="1:12" s="271" customFormat="1">
      <c r="A44" s="271">
        <f t="shared" si="19"/>
        <v>15</v>
      </c>
      <c r="B44" s="272">
        <f t="shared" si="15"/>
        <v>45869</v>
      </c>
      <c r="C44" s="272">
        <f t="shared" si="17"/>
        <v>45900</v>
      </c>
      <c r="D44" s="355"/>
      <c r="E44" s="274"/>
      <c r="F44" s="274">
        <f t="shared" si="20"/>
        <v>5100000</v>
      </c>
      <c r="G44" s="273">
        <f t="shared" si="13"/>
        <v>33288.833333333336</v>
      </c>
      <c r="H44" s="273"/>
      <c r="I44" s="275">
        <f t="shared" si="10"/>
        <v>33288.833333333336</v>
      </c>
      <c r="J44" s="271">
        <f t="shared" si="18"/>
        <v>31</v>
      </c>
    </row>
    <row r="45" spans="1:12" s="271" customFormat="1">
      <c r="A45" s="271">
        <f t="shared" si="19"/>
        <v>16</v>
      </c>
      <c r="B45" s="272">
        <f t="shared" si="15"/>
        <v>45900</v>
      </c>
      <c r="C45" s="272">
        <f t="shared" si="17"/>
        <v>45930</v>
      </c>
      <c r="D45" s="355">
        <f>0.4*E4</f>
        <v>6800000</v>
      </c>
      <c r="E45" s="274"/>
      <c r="F45" s="274">
        <f t="shared" si="20"/>
        <v>11900000</v>
      </c>
      <c r="G45" s="273">
        <f t="shared" si="13"/>
        <v>77673.944444444438</v>
      </c>
      <c r="H45" s="273"/>
      <c r="I45" s="275">
        <f t="shared" si="10"/>
        <v>77673.944444444438</v>
      </c>
      <c r="J45" s="271">
        <f t="shared" si="18"/>
        <v>31</v>
      </c>
    </row>
    <row r="46" spans="1:12" s="271" customFormat="1">
      <c r="A46" s="271">
        <f t="shared" si="19"/>
        <v>17</v>
      </c>
      <c r="B46" s="272">
        <f t="shared" si="15"/>
        <v>45930</v>
      </c>
      <c r="C46" s="272">
        <f t="shared" si="17"/>
        <v>45961</v>
      </c>
      <c r="D46" s="355"/>
      <c r="E46" s="274"/>
      <c r="F46" s="274">
        <f t="shared" si="20"/>
        <v>11900000</v>
      </c>
      <c r="G46" s="273">
        <f t="shared" si="13"/>
        <v>75168.333333333328</v>
      </c>
      <c r="H46" s="273"/>
      <c r="I46" s="275">
        <f t="shared" si="10"/>
        <v>75168.333333333328</v>
      </c>
      <c r="J46" s="271">
        <f t="shared" si="18"/>
        <v>30</v>
      </c>
    </row>
    <row r="47" spans="1:12" s="271" customFormat="1">
      <c r="A47" s="271">
        <f t="shared" si="19"/>
        <v>18</v>
      </c>
      <c r="B47" s="272">
        <f t="shared" si="15"/>
        <v>45961</v>
      </c>
      <c r="C47" s="272">
        <f t="shared" si="17"/>
        <v>45991</v>
      </c>
      <c r="D47" s="355">
        <f>0.3*E4</f>
        <v>5100000</v>
      </c>
      <c r="E47" s="274"/>
      <c r="F47" s="274">
        <f t="shared" si="20"/>
        <v>17000000</v>
      </c>
      <c r="G47" s="273">
        <f t="shared" si="13"/>
        <v>110962.77777777778</v>
      </c>
      <c r="H47" s="273"/>
      <c r="I47" s="275">
        <f t="shared" si="10"/>
        <v>110962.77777777778</v>
      </c>
      <c r="J47" s="271">
        <f t="shared" si="18"/>
        <v>31</v>
      </c>
    </row>
    <row r="48" spans="1:12" s="271" customFormat="1">
      <c r="A48" s="271">
        <f t="shared" si="19"/>
        <v>19</v>
      </c>
      <c r="B48" s="272">
        <f t="shared" si="15"/>
        <v>45991</v>
      </c>
      <c r="C48" s="272">
        <f t="shared" si="17"/>
        <v>46022</v>
      </c>
      <c r="D48" s="355"/>
      <c r="E48" s="274"/>
      <c r="F48" s="274">
        <f t="shared" ref="F48:F101" si="21">F47-E47</f>
        <v>17000000</v>
      </c>
      <c r="G48" s="273">
        <f t="shared" si="13"/>
        <v>107383.33333333333</v>
      </c>
      <c r="H48" s="273"/>
      <c r="I48" s="275">
        <f t="shared" si="10"/>
        <v>107383.33333333333</v>
      </c>
      <c r="J48" s="271">
        <f t="shared" si="18"/>
        <v>30</v>
      </c>
    </row>
    <row r="49" spans="1:12" s="281" customFormat="1">
      <c r="A49" s="281">
        <f t="shared" si="19"/>
        <v>20</v>
      </c>
      <c r="B49" s="282">
        <f t="shared" si="15"/>
        <v>46022</v>
      </c>
      <c r="C49" s="282">
        <f t="shared" si="17"/>
        <v>46053</v>
      </c>
      <c r="D49" s="354"/>
      <c r="E49" s="283"/>
      <c r="F49" s="283">
        <f t="shared" si="21"/>
        <v>17000000</v>
      </c>
      <c r="G49" s="285">
        <f t="shared" si="13"/>
        <v>110962.77777777778</v>
      </c>
      <c r="H49" s="285"/>
      <c r="I49" s="284">
        <f t="shared" si="10"/>
        <v>110962.77777777778</v>
      </c>
      <c r="J49" s="281">
        <f t="shared" si="18"/>
        <v>31</v>
      </c>
      <c r="K49" s="286">
        <f>SUM(E38:E49)</f>
        <v>0</v>
      </c>
      <c r="L49" s="286">
        <f>SUM(G38:G49)</f>
        <v>709803.83333333337</v>
      </c>
    </row>
    <row r="50" spans="1:12" s="271" customFormat="1">
      <c r="A50" s="271">
        <f t="shared" si="19"/>
        <v>21</v>
      </c>
      <c r="B50" s="272">
        <f t="shared" si="15"/>
        <v>46053</v>
      </c>
      <c r="C50" s="272">
        <f t="shared" si="17"/>
        <v>46081</v>
      </c>
      <c r="D50" s="355"/>
      <c r="E50" s="274"/>
      <c r="F50" s="274">
        <f t="shared" si="21"/>
        <v>17000000</v>
      </c>
      <c r="G50" s="273">
        <f t="shared" si="13"/>
        <v>110962.77777777778</v>
      </c>
      <c r="H50" s="273"/>
      <c r="I50" s="275">
        <f t="shared" si="10"/>
        <v>110962.77777777778</v>
      </c>
      <c r="J50" s="271">
        <f t="shared" si="18"/>
        <v>31</v>
      </c>
    </row>
    <row r="51" spans="1:12" s="271" customFormat="1">
      <c r="A51" s="271">
        <f t="shared" si="19"/>
        <v>22</v>
      </c>
      <c r="B51" s="272">
        <f t="shared" si="15"/>
        <v>46081</v>
      </c>
      <c r="C51" s="272">
        <f t="shared" si="17"/>
        <v>46112</v>
      </c>
      <c r="D51" s="355"/>
      <c r="E51" s="274"/>
      <c r="F51" s="274">
        <f t="shared" si="21"/>
        <v>17000000</v>
      </c>
      <c r="G51" s="273">
        <f t="shared" si="13"/>
        <v>100224.44444444447</v>
      </c>
      <c r="H51" s="273"/>
      <c r="I51" s="275">
        <f t="shared" si="10"/>
        <v>100224.44444444447</v>
      </c>
      <c r="J51" s="271">
        <f t="shared" si="18"/>
        <v>28</v>
      </c>
    </row>
    <row r="52" spans="1:12" s="271" customFormat="1">
      <c r="A52" s="271">
        <f t="shared" si="19"/>
        <v>23</v>
      </c>
      <c r="B52" s="272">
        <f t="shared" si="15"/>
        <v>46112</v>
      </c>
      <c r="C52" s="272">
        <f t="shared" si="17"/>
        <v>46142</v>
      </c>
      <c r="D52" s="355"/>
      <c r="E52" s="274"/>
      <c r="F52" s="274">
        <f t="shared" si="21"/>
        <v>17000000</v>
      </c>
      <c r="G52" s="273">
        <f t="shared" si="13"/>
        <v>110962.77777777778</v>
      </c>
      <c r="H52" s="273"/>
      <c r="I52" s="275">
        <f t="shared" si="10"/>
        <v>110962.77777777778</v>
      </c>
      <c r="J52" s="271">
        <f t="shared" si="18"/>
        <v>31</v>
      </c>
    </row>
    <row r="53" spans="1:12" s="271" customFormat="1">
      <c r="A53" s="271">
        <f t="shared" si="19"/>
        <v>24</v>
      </c>
      <c r="B53" s="272">
        <f t="shared" si="15"/>
        <v>46142</v>
      </c>
      <c r="C53" s="272">
        <f t="shared" si="17"/>
        <v>46173</v>
      </c>
      <c r="D53" s="355"/>
      <c r="E53" s="274"/>
      <c r="F53" s="274">
        <f t="shared" si="21"/>
        <v>17000000</v>
      </c>
      <c r="G53" s="273">
        <f t="shared" si="13"/>
        <v>107383.33333333333</v>
      </c>
      <c r="H53" s="273"/>
      <c r="I53" s="275">
        <f t="shared" si="10"/>
        <v>107383.33333333333</v>
      </c>
      <c r="J53" s="271">
        <f t="shared" si="18"/>
        <v>30</v>
      </c>
    </row>
    <row r="54" spans="1:12" s="271" customFormat="1">
      <c r="A54" s="271">
        <f t="shared" si="19"/>
        <v>25</v>
      </c>
      <c r="B54" s="272">
        <f t="shared" si="15"/>
        <v>46173</v>
      </c>
      <c r="C54" s="272">
        <f t="shared" si="17"/>
        <v>46203</v>
      </c>
      <c r="D54" s="355"/>
      <c r="E54" s="274">
        <f>E4/120</f>
        <v>141666.66666666666</v>
      </c>
      <c r="F54" s="274">
        <f t="shared" si="21"/>
        <v>17000000</v>
      </c>
      <c r="G54" s="273">
        <f t="shared" si="13"/>
        <v>110962.77777777778</v>
      </c>
      <c r="H54" s="273"/>
      <c r="I54" s="275">
        <f t="shared" si="10"/>
        <v>252629.44444444444</v>
      </c>
      <c r="J54" s="271">
        <f t="shared" si="18"/>
        <v>31</v>
      </c>
    </row>
    <row r="55" spans="1:12" s="271" customFormat="1">
      <c r="A55" s="271">
        <f t="shared" si="19"/>
        <v>26</v>
      </c>
      <c r="B55" s="272">
        <f t="shared" si="15"/>
        <v>46203</v>
      </c>
      <c r="C55" s="272">
        <f t="shared" si="17"/>
        <v>46234</v>
      </c>
      <c r="D55" s="355"/>
      <c r="E55" s="274">
        <f t="shared" si="12"/>
        <v>141666.66666666666</v>
      </c>
      <c r="F55" s="274">
        <f t="shared" si="21"/>
        <v>16858333.333333332</v>
      </c>
      <c r="G55" s="273">
        <f t="shared" si="13"/>
        <v>106488.47222222222</v>
      </c>
      <c r="H55" s="273"/>
      <c r="I55" s="275">
        <f t="shared" si="10"/>
        <v>248155.13888888888</v>
      </c>
      <c r="J55" s="271">
        <f t="shared" si="18"/>
        <v>30</v>
      </c>
    </row>
    <row r="56" spans="1:12" s="271" customFormat="1">
      <c r="A56" s="271">
        <f t="shared" si="19"/>
        <v>27</v>
      </c>
      <c r="B56" s="272">
        <f t="shared" si="15"/>
        <v>46234</v>
      </c>
      <c r="C56" s="272">
        <f t="shared" si="17"/>
        <v>46265</v>
      </c>
      <c r="D56" s="355"/>
      <c r="E56" s="274">
        <f t="shared" si="12"/>
        <v>141666.66666666666</v>
      </c>
      <c r="F56" s="274">
        <f t="shared" si="21"/>
        <v>16716666.666666666</v>
      </c>
      <c r="G56" s="273">
        <f t="shared" si="13"/>
        <v>109113.39814814816</v>
      </c>
      <c r="H56" s="273"/>
      <c r="I56" s="275">
        <f t="shared" si="10"/>
        <v>250780.06481481483</v>
      </c>
      <c r="J56" s="271">
        <f t="shared" si="18"/>
        <v>31</v>
      </c>
    </row>
    <row r="57" spans="1:12" s="271" customFormat="1">
      <c r="A57" s="271">
        <f t="shared" si="19"/>
        <v>28</v>
      </c>
      <c r="B57" s="272">
        <f t="shared" si="15"/>
        <v>46265</v>
      </c>
      <c r="C57" s="272">
        <f t="shared" si="17"/>
        <v>46295</v>
      </c>
      <c r="D57" s="355"/>
      <c r="E57" s="274">
        <f t="shared" si="12"/>
        <v>141666.66666666666</v>
      </c>
      <c r="F57" s="274">
        <f t="shared" si="21"/>
        <v>16575000</v>
      </c>
      <c r="G57" s="273">
        <f t="shared" si="13"/>
        <v>108188.70833333333</v>
      </c>
      <c r="H57" s="273"/>
      <c r="I57" s="275">
        <f t="shared" si="10"/>
        <v>249855.375</v>
      </c>
      <c r="J57" s="271">
        <f t="shared" si="18"/>
        <v>31</v>
      </c>
    </row>
    <row r="58" spans="1:12" s="271" customFormat="1">
      <c r="A58" s="271">
        <f t="shared" si="19"/>
        <v>29</v>
      </c>
      <c r="B58" s="272">
        <f t="shared" si="15"/>
        <v>46295</v>
      </c>
      <c r="C58" s="272">
        <f t="shared" si="17"/>
        <v>46326</v>
      </c>
      <c r="D58" s="355"/>
      <c r="E58" s="274">
        <f t="shared" si="12"/>
        <v>141666.66666666666</v>
      </c>
      <c r="F58" s="274">
        <f t="shared" si="21"/>
        <v>16433333.333333334</v>
      </c>
      <c r="G58" s="273">
        <f t="shared" si="13"/>
        <v>103803.88888888889</v>
      </c>
      <c r="H58" s="273"/>
      <c r="I58" s="275">
        <f t="shared" si="10"/>
        <v>245470.55555555556</v>
      </c>
      <c r="J58" s="271">
        <f t="shared" si="18"/>
        <v>30</v>
      </c>
    </row>
    <row r="59" spans="1:12" s="271" customFormat="1">
      <c r="A59" s="271">
        <f t="shared" si="19"/>
        <v>30</v>
      </c>
      <c r="B59" s="272">
        <f t="shared" si="15"/>
        <v>46326</v>
      </c>
      <c r="C59" s="272">
        <f t="shared" si="17"/>
        <v>46356</v>
      </c>
      <c r="D59" s="355"/>
      <c r="E59" s="274">
        <f t="shared" si="12"/>
        <v>141666.66666666666</v>
      </c>
      <c r="F59" s="274">
        <f t="shared" si="21"/>
        <v>16291666.666666668</v>
      </c>
      <c r="G59" s="273">
        <f t="shared" si="13"/>
        <v>106339.32870370371</v>
      </c>
      <c r="H59" s="273"/>
      <c r="I59" s="275">
        <f t="shared" si="10"/>
        <v>248005.99537037036</v>
      </c>
      <c r="J59" s="271">
        <f t="shared" si="18"/>
        <v>31</v>
      </c>
    </row>
    <row r="60" spans="1:12" s="271" customFormat="1">
      <c r="A60" s="271">
        <f t="shared" si="19"/>
        <v>31</v>
      </c>
      <c r="B60" s="272">
        <f t="shared" si="15"/>
        <v>46356</v>
      </c>
      <c r="C60" s="272">
        <f t="shared" si="17"/>
        <v>46387</v>
      </c>
      <c r="D60" s="355"/>
      <c r="E60" s="274">
        <f t="shared" si="12"/>
        <v>141666.66666666666</v>
      </c>
      <c r="F60" s="274">
        <f t="shared" si="21"/>
        <v>16150000.000000002</v>
      </c>
      <c r="G60" s="273">
        <f t="shared" si="13"/>
        <v>102014.16666666669</v>
      </c>
      <c r="H60" s="273"/>
      <c r="I60" s="275">
        <f t="shared" si="10"/>
        <v>243680.83333333334</v>
      </c>
      <c r="J60" s="271">
        <f t="shared" si="18"/>
        <v>30</v>
      </c>
    </row>
    <row r="61" spans="1:12" s="281" customFormat="1">
      <c r="A61" s="281">
        <f t="shared" si="19"/>
        <v>32</v>
      </c>
      <c r="B61" s="282">
        <f t="shared" si="15"/>
        <v>46387</v>
      </c>
      <c r="C61" s="282">
        <f t="shared" si="17"/>
        <v>46418</v>
      </c>
      <c r="D61" s="354"/>
      <c r="E61" s="283">
        <f t="shared" si="12"/>
        <v>141666.66666666666</v>
      </c>
      <c r="F61" s="283">
        <f t="shared" si="21"/>
        <v>16008333.333333336</v>
      </c>
      <c r="G61" s="285">
        <f t="shared" si="13"/>
        <v>104489.94907407409</v>
      </c>
      <c r="H61" s="285"/>
      <c r="I61" s="284">
        <f t="shared" si="10"/>
        <v>246156.61574074073</v>
      </c>
      <c r="J61" s="281">
        <f t="shared" si="18"/>
        <v>31</v>
      </c>
      <c r="K61" s="286">
        <f>SUM(E50:E61)</f>
        <v>1133333.3333333333</v>
      </c>
      <c r="L61" s="286">
        <f>SUM(G50:G61)</f>
        <v>1280934.0231481486</v>
      </c>
    </row>
    <row r="62" spans="1:12" s="271" customFormat="1">
      <c r="A62" s="271">
        <f t="shared" si="19"/>
        <v>33</v>
      </c>
      <c r="B62" s="272">
        <f t="shared" si="15"/>
        <v>46418</v>
      </c>
      <c r="C62" s="272">
        <f t="shared" si="17"/>
        <v>46446</v>
      </c>
      <c r="D62" s="355"/>
      <c r="E62" s="274">
        <f t="shared" si="12"/>
        <v>141666.66666666666</v>
      </c>
      <c r="F62" s="274">
        <f t="shared" si="21"/>
        <v>15866666.66666667</v>
      </c>
      <c r="G62" s="273">
        <f t="shared" si="13"/>
        <v>103565.25925925928</v>
      </c>
      <c r="H62" s="273"/>
      <c r="I62" s="275">
        <f t="shared" si="10"/>
        <v>245231.92592592596</v>
      </c>
      <c r="J62" s="271">
        <f t="shared" si="18"/>
        <v>31</v>
      </c>
    </row>
    <row r="63" spans="1:12" s="271" customFormat="1">
      <c r="A63" s="271">
        <f t="shared" si="19"/>
        <v>34</v>
      </c>
      <c r="B63" s="272">
        <f t="shared" si="15"/>
        <v>46446</v>
      </c>
      <c r="C63" s="272">
        <f t="shared" si="17"/>
        <v>46477</v>
      </c>
      <c r="D63" s="355"/>
      <c r="E63" s="274">
        <f t="shared" si="12"/>
        <v>141666.66666666666</v>
      </c>
      <c r="F63" s="274">
        <f t="shared" si="21"/>
        <v>15725000.000000004</v>
      </c>
      <c r="G63" s="273">
        <f t="shared" si="13"/>
        <v>92707.611111111139</v>
      </c>
      <c r="H63" s="273"/>
      <c r="I63" s="275">
        <f t="shared" si="10"/>
        <v>234374.27777777781</v>
      </c>
      <c r="J63" s="271">
        <f t="shared" si="18"/>
        <v>28</v>
      </c>
    </row>
    <row r="64" spans="1:12" s="271" customFormat="1">
      <c r="A64" s="271">
        <f t="shared" si="19"/>
        <v>35</v>
      </c>
      <c r="B64" s="272">
        <f t="shared" si="15"/>
        <v>46477</v>
      </c>
      <c r="C64" s="272">
        <f t="shared" si="17"/>
        <v>46507</v>
      </c>
      <c r="D64" s="355"/>
      <c r="E64" s="274">
        <f t="shared" si="12"/>
        <v>141666.66666666666</v>
      </c>
      <c r="F64" s="274">
        <f t="shared" si="21"/>
        <v>15583333.333333338</v>
      </c>
      <c r="G64" s="273">
        <f t="shared" si="13"/>
        <v>101715.87962962966</v>
      </c>
      <c r="H64" s="273"/>
      <c r="I64" s="275">
        <f t="shared" si="10"/>
        <v>243382.54629629632</v>
      </c>
      <c r="J64" s="271">
        <f t="shared" si="18"/>
        <v>31</v>
      </c>
    </row>
    <row r="65" spans="1:12" s="271" customFormat="1">
      <c r="A65" s="271">
        <f t="shared" si="19"/>
        <v>36</v>
      </c>
      <c r="B65" s="272">
        <f t="shared" si="15"/>
        <v>46507</v>
      </c>
      <c r="C65" s="272">
        <f t="shared" si="17"/>
        <v>46538</v>
      </c>
      <c r="D65" s="355"/>
      <c r="E65" s="274">
        <f t="shared" si="12"/>
        <v>141666.66666666666</v>
      </c>
      <c r="F65" s="274">
        <f t="shared" si="21"/>
        <v>15441666.666666672</v>
      </c>
      <c r="G65" s="273">
        <f t="shared" si="13"/>
        <v>97539.861111111153</v>
      </c>
      <c r="H65" s="273"/>
      <c r="I65" s="275">
        <f t="shared" si="10"/>
        <v>239206.52777777781</v>
      </c>
      <c r="J65" s="271">
        <f t="shared" si="18"/>
        <v>30</v>
      </c>
    </row>
    <row r="66" spans="1:12" s="271" customFormat="1">
      <c r="A66" s="271">
        <f t="shared" si="19"/>
        <v>37</v>
      </c>
      <c r="B66" s="272">
        <f t="shared" si="15"/>
        <v>46538</v>
      </c>
      <c r="C66" s="272">
        <f t="shared" si="17"/>
        <v>46568</v>
      </c>
      <c r="D66" s="355"/>
      <c r="E66" s="274">
        <f t="shared" si="12"/>
        <v>141666.66666666666</v>
      </c>
      <c r="F66" s="274">
        <f t="shared" si="21"/>
        <v>15300000.000000006</v>
      </c>
      <c r="G66" s="273">
        <f t="shared" si="13"/>
        <v>99866.500000000044</v>
      </c>
      <c r="H66" s="273"/>
      <c r="I66" s="275">
        <f t="shared" si="10"/>
        <v>241533.16666666669</v>
      </c>
      <c r="J66" s="271">
        <f t="shared" si="18"/>
        <v>31</v>
      </c>
    </row>
    <row r="67" spans="1:12" s="271" customFormat="1">
      <c r="A67" s="271">
        <f t="shared" si="19"/>
        <v>38</v>
      </c>
      <c r="B67" s="272">
        <f t="shared" si="15"/>
        <v>46568</v>
      </c>
      <c r="C67" s="272">
        <f t="shared" si="17"/>
        <v>46599</v>
      </c>
      <c r="D67" s="355"/>
      <c r="E67" s="274">
        <f t="shared" si="12"/>
        <v>141666.66666666666</v>
      </c>
      <c r="F67" s="274">
        <f t="shared" si="21"/>
        <v>15158333.33333334</v>
      </c>
      <c r="G67" s="273">
        <f t="shared" si="13"/>
        <v>95750.138888888934</v>
      </c>
      <c r="H67" s="273"/>
      <c r="I67" s="275">
        <f t="shared" si="10"/>
        <v>237416.80555555559</v>
      </c>
      <c r="J67" s="271">
        <f t="shared" si="18"/>
        <v>30</v>
      </c>
    </row>
    <row r="68" spans="1:12" s="271" customFormat="1">
      <c r="A68" s="271">
        <f t="shared" si="19"/>
        <v>39</v>
      </c>
      <c r="B68" s="272">
        <f t="shared" si="15"/>
        <v>46599</v>
      </c>
      <c r="C68" s="272">
        <f t="shared" si="17"/>
        <v>46630</v>
      </c>
      <c r="D68" s="355"/>
      <c r="E68" s="274">
        <f t="shared" si="12"/>
        <v>141666.66666666666</v>
      </c>
      <c r="F68" s="274">
        <f t="shared" si="21"/>
        <v>15016666.666666673</v>
      </c>
      <c r="G68" s="273">
        <f t="shared" si="13"/>
        <v>98017.120370370423</v>
      </c>
      <c r="H68" s="273"/>
      <c r="I68" s="275">
        <f t="shared" si="10"/>
        <v>239683.78703703708</v>
      </c>
      <c r="J68" s="271">
        <f t="shared" si="18"/>
        <v>31</v>
      </c>
    </row>
    <row r="69" spans="1:12" s="271" customFormat="1">
      <c r="A69" s="271">
        <f t="shared" si="19"/>
        <v>40</v>
      </c>
      <c r="B69" s="272">
        <f t="shared" si="15"/>
        <v>46630</v>
      </c>
      <c r="C69" s="272">
        <f t="shared" si="17"/>
        <v>46660</v>
      </c>
      <c r="D69" s="355"/>
      <c r="E69" s="274">
        <f t="shared" si="12"/>
        <v>141666.66666666666</v>
      </c>
      <c r="F69" s="274">
        <f t="shared" si="21"/>
        <v>14875000.000000007</v>
      </c>
      <c r="G69" s="273">
        <f t="shared" si="13"/>
        <v>97092.43055555562</v>
      </c>
      <c r="H69" s="273"/>
      <c r="I69" s="275">
        <f t="shared" si="10"/>
        <v>238759.09722222228</v>
      </c>
      <c r="J69" s="271">
        <f t="shared" si="18"/>
        <v>31</v>
      </c>
    </row>
    <row r="70" spans="1:12" s="271" customFormat="1">
      <c r="A70" s="271">
        <f t="shared" si="19"/>
        <v>41</v>
      </c>
      <c r="B70" s="272">
        <f t="shared" si="15"/>
        <v>46660</v>
      </c>
      <c r="C70" s="272">
        <f t="shared" si="17"/>
        <v>46691</v>
      </c>
      <c r="D70" s="355"/>
      <c r="E70" s="274">
        <f t="shared" si="12"/>
        <v>141666.66666666666</v>
      </c>
      <c r="F70" s="274">
        <f t="shared" si="21"/>
        <v>14733333.333333341</v>
      </c>
      <c r="G70" s="273">
        <f t="shared" si="13"/>
        <v>93065.555555555606</v>
      </c>
      <c r="H70" s="273"/>
      <c r="I70" s="275">
        <f t="shared" si="10"/>
        <v>234732.22222222225</v>
      </c>
      <c r="J70" s="271">
        <f t="shared" si="18"/>
        <v>30</v>
      </c>
    </row>
    <row r="71" spans="1:12" s="271" customFormat="1">
      <c r="A71" s="271">
        <f t="shared" si="19"/>
        <v>42</v>
      </c>
      <c r="B71" s="272">
        <f t="shared" si="15"/>
        <v>46691</v>
      </c>
      <c r="C71" s="272">
        <f t="shared" si="17"/>
        <v>46721</v>
      </c>
      <c r="D71" s="355"/>
      <c r="E71" s="274">
        <f t="shared" si="12"/>
        <v>141666.66666666666</v>
      </c>
      <c r="F71" s="274">
        <f t="shared" si="21"/>
        <v>14591666.666666675</v>
      </c>
      <c r="G71" s="273">
        <f t="shared" si="13"/>
        <v>95243.050925926</v>
      </c>
      <c r="H71" s="273"/>
      <c r="I71" s="275">
        <f t="shared" si="10"/>
        <v>236909.71759259264</v>
      </c>
      <c r="J71" s="271">
        <f t="shared" si="18"/>
        <v>31</v>
      </c>
    </row>
    <row r="72" spans="1:12" s="271" customFormat="1">
      <c r="A72" s="271">
        <f t="shared" si="19"/>
        <v>43</v>
      </c>
      <c r="B72" s="272">
        <f t="shared" si="15"/>
        <v>46721</v>
      </c>
      <c r="C72" s="272">
        <f t="shared" si="17"/>
        <v>46752</v>
      </c>
      <c r="D72" s="355"/>
      <c r="E72" s="274">
        <f t="shared" si="12"/>
        <v>141666.66666666666</v>
      </c>
      <c r="F72" s="274">
        <f t="shared" si="21"/>
        <v>14450000.000000009</v>
      </c>
      <c r="G72" s="273">
        <f t="shared" si="13"/>
        <v>91275.833333333401</v>
      </c>
      <c r="H72" s="273"/>
      <c r="I72" s="275">
        <f t="shared" si="10"/>
        <v>232942.50000000006</v>
      </c>
      <c r="J72" s="271">
        <f t="shared" si="18"/>
        <v>30</v>
      </c>
    </row>
    <row r="73" spans="1:12" s="281" customFormat="1">
      <c r="A73" s="281">
        <f t="shared" si="19"/>
        <v>44</v>
      </c>
      <c r="B73" s="282">
        <f t="shared" si="15"/>
        <v>46752</v>
      </c>
      <c r="C73" s="282">
        <f t="shared" si="17"/>
        <v>46783</v>
      </c>
      <c r="D73" s="354"/>
      <c r="E73" s="283">
        <f t="shared" si="12"/>
        <v>141666.66666666666</v>
      </c>
      <c r="F73" s="283">
        <f t="shared" si="21"/>
        <v>14308333.333333343</v>
      </c>
      <c r="G73" s="285">
        <f t="shared" si="13"/>
        <v>93393.671296296379</v>
      </c>
      <c r="H73" s="285"/>
      <c r="I73" s="284">
        <f t="shared" si="10"/>
        <v>235060.33796296304</v>
      </c>
      <c r="J73" s="281">
        <f t="shared" si="18"/>
        <v>31</v>
      </c>
      <c r="K73" s="286">
        <f>SUM(E62:E73)</f>
        <v>1700000.0000000002</v>
      </c>
      <c r="L73" s="286">
        <f>SUM(G62:G73)</f>
        <v>1159232.9120370378</v>
      </c>
    </row>
    <row r="74" spans="1:12" s="271" customFormat="1">
      <c r="A74" s="271">
        <f t="shared" si="19"/>
        <v>45</v>
      </c>
      <c r="B74" s="272">
        <f t="shared" si="15"/>
        <v>46783</v>
      </c>
      <c r="C74" s="272">
        <f t="shared" si="17"/>
        <v>46812</v>
      </c>
      <c r="D74" s="355"/>
      <c r="E74" s="274">
        <f t="shared" si="12"/>
        <v>141666.66666666666</v>
      </c>
      <c r="F74" s="274">
        <f t="shared" si="21"/>
        <v>14166666.666666677</v>
      </c>
      <c r="G74" s="273">
        <f t="shared" si="13"/>
        <v>92468.981481481547</v>
      </c>
      <c r="H74" s="273"/>
      <c r="I74" s="275">
        <f t="shared" si="10"/>
        <v>234135.6481481482</v>
      </c>
      <c r="J74" s="271">
        <f t="shared" si="18"/>
        <v>31</v>
      </c>
    </row>
    <row r="75" spans="1:12" s="271" customFormat="1">
      <c r="A75" s="271">
        <f t="shared" si="19"/>
        <v>46</v>
      </c>
      <c r="B75" s="272">
        <f t="shared" si="15"/>
        <v>46812</v>
      </c>
      <c r="C75" s="272">
        <f t="shared" si="17"/>
        <v>46843</v>
      </c>
      <c r="D75" s="355"/>
      <c r="E75" s="274">
        <f t="shared" si="12"/>
        <v>141666.66666666666</v>
      </c>
      <c r="F75" s="274">
        <f t="shared" si="21"/>
        <v>14025000.000000011</v>
      </c>
      <c r="G75" s="273">
        <f t="shared" si="13"/>
        <v>85638.208333333416</v>
      </c>
      <c r="H75" s="273"/>
      <c r="I75" s="275">
        <f t="shared" si="10"/>
        <v>227304.87500000006</v>
      </c>
      <c r="J75" s="271">
        <f t="shared" si="18"/>
        <v>29</v>
      </c>
    </row>
    <row r="76" spans="1:12" s="271" customFormat="1">
      <c r="A76" s="271">
        <f t="shared" si="19"/>
        <v>47</v>
      </c>
      <c r="B76" s="272">
        <f t="shared" si="15"/>
        <v>46843</v>
      </c>
      <c r="C76" s="272">
        <f t="shared" si="17"/>
        <v>46873</v>
      </c>
      <c r="D76" s="355"/>
      <c r="E76" s="274">
        <f t="shared" si="12"/>
        <v>141666.66666666666</v>
      </c>
      <c r="F76" s="274">
        <f t="shared" si="21"/>
        <v>13883333.333333345</v>
      </c>
      <c r="G76" s="273">
        <f t="shared" si="13"/>
        <v>90619.601851851941</v>
      </c>
      <c r="H76" s="273"/>
      <c r="I76" s="275">
        <f t="shared" si="10"/>
        <v>232286.2685185186</v>
      </c>
      <c r="J76" s="271">
        <f t="shared" si="18"/>
        <v>31</v>
      </c>
    </row>
    <row r="77" spans="1:12" s="271" customFormat="1">
      <c r="A77" s="271">
        <f t="shared" si="19"/>
        <v>48</v>
      </c>
      <c r="B77" s="272">
        <f t="shared" si="15"/>
        <v>46873</v>
      </c>
      <c r="C77" s="272">
        <f t="shared" si="17"/>
        <v>46904</v>
      </c>
      <c r="D77" s="355"/>
      <c r="E77" s="274">
        <f t="shared" si="12"/>
        <v>141666.66666666666</v>
      </c>
      <c r="F77" s="274">
        <f t="shared" si="21"/>
        <v>13741666.666666679</v>
      </c>
      <c r="G77" s="273">
        <f t="shared" si="13"/>
        <v>86801.527777777854</v>
      </c>
      <c r="H77" s="273"/>
      <c r="I77" s="275">
        <f t="shared" si="10"/>
        <v>228468.1944444445</v>
      </c>
      <c r="J77" s="271">
        <f t="shared" si="18"/>
        <v>30</v>
      </c>
    </row>
    <row r="78" spans="1:12" s="271" customFormat="1">
      <c r="A78" s="271">
        <f t="shared" si="19"/>
        <v>49</v>
      </c>
      <c r="B78" s="272">
        <f t="shared" si="15"/>
        <v>46904</v>
      </c>
      <c r="C78" s="272">
        <f t="shared" si="17"/>
        <v>46934</v>
      </c>
      <c r="D78" s="355"/>
      <c r="E78" s="274">
        <f t="shared" si="12"/>
        <v>141666.66666666666</v>
      </c>
      <c r="F78" s="274">
        <f t="shared" si="21"/>
        <v>13600000.000000013</v>
      </c>
      <c r="G78" s="273">
        <f t="shared" si="13"/>
        <v>88770.222222222321</v>
      </c>
      <c r="H78" s="273"/>
      <c r="I78" s="275">
        <f t="shared" si="10"/>
        <v>230436.88888888899</v>
      </c>
      <c r="J78" s="271">
        <f t="shared" si="18"/>
        <v>31</v>
      </c>
    </row>
    <row r="79" spans="1:12" s="271" customFormat="1">
      <c r="A79" s="271">
        <f t="shared" si="19"/>
        <v>50</v>
      </c>
      <c r="B79" s="272">
        <f t="shared" si="15"/>
        <v>46934</v>
      </c>
      <c r="C79" s="272">
        <f t="shared" si="17"/>
        <v>46965</v>
      </c>
      <c r="D79" s="355"/>
      <c r="E79" s="274">
        <f t="shared" si="12"/>
        <v>141666.66666666666</v>
      </c>
      <c r="F79" s="274">
        <f t="shared" si="21"/>
        <v>13458333.333333347</v>
      </c>
      <c r="G79" s="273">
        <f t="shared" si="13"/>
        <v>85011.805555555635</v>
      </c>
      <c r="H79" s="273"/>
      <c r="I79" s="275">
        <f t="shared" si="10"/>
        <v>226678.47222222231</v>
      </c>
      <c r="J79" s="271">
        <f t="shared" si="18"/>
        <v>30</v>
      </c>
    </row>
    <row r="80" spans="1:12" s="271" customFormat="1">
      <c r="A80" s="271">
        <f t="shared" si="19"/>
        <v>51</v>
      </c>
      <c r="B80" s="272">
        <f t="shared" si="15"/>
        <v>46965</v>
      </c>
      <c r="C80" s="272">
        <f t="shared" si="17"/>
        <v>46996</v>
      </c>
      <c r="D80" s="355"/>
      <c r="E80" s="274">
        <f t="shared" si="12"/>
        <v>141666.66666666666</v>
      </c>
      <c r="F80" s="274">
        <f t="shared" si="21"/>
        <v>13316666.666666681</v>
      </c>
      <c r="G80" s="273">
        <f t="shared" si="13"/>
        <v>86920.842592592686</v>
      </c>
      <c r="H80" s="273"/>
      <c r="I80" s="275">
        <f t="shared" si="10"/>
        <v>228587.50925925933</v>
      </c>
      <c r="J80" s="271">
        <f t="shared" si="18"/>
        <v>31</v>
      </c>
    </row>
    <row r="81" spans="1:12" s="271" customFormat="1">
      <c r="A81" s="271">
        <f t="shared" si="19"/>
        <v>52</v>
      </c>
      <c r="B81" s="272">
        <f t="shared" si="15"/>
        <v>46996</v>
      </c>
      <c r="C81" s="272">
        <f t="shared" si="17"/>
        <v>47026</v>
      </c>
      <c r="D81" s="355"/>
      <c r="E81" s="274">
        <f t="shared" si="12"/>
        <v>141666.66666666666</v>
      </c>
      <c r="F81" s="274">
        <f t="shared" si="21"/>
        <v>13175000.000000015</v>
      </c>
      <c r="G81" s="273">
        <f t="shared" si="13"/>
        <v>85996.152777777883</v>
      </c>
      <c r="H81" s="273"/>
      <c r="I81" s="275">
        <f t="shared" ref="I81:I144" si="22">E81+G81</f>
        <v>227662.81944444455</v>
      </c>
      <c r="J81" s="271">
        <f t="shared" si="18"/>
        <v>31</v>
      </c>
    </row>
    <row r="82" spans="1:12" s="271" customFormat="1">
      <c r="A82" s="271">
        <f t="shared" si="19"/>
        <v>53</v>
      </c>
      <c r="B82" s="272">
        <f t="shared" si="15"/>
        <v>47026</v>
      </c>
      <c r="C82" s="272">
        <f t="shared" si="17"/>
        <v>47057</v>
      </c>
      <c r="D82" s="355"/>
      <c r="E82" s="274">
        <f t="shared" si="12"/>
        <v>141666.66666666666</v>
      </c>
      <c r="F82" s="274">
        <f t="shared" si="21"/>
        <v>13033333.333333349</v>
      </c>
      <c r="G82" s="273">
        <f t="shared" si="13"/>
        <v>82327.222222222321</v>
      </c>
      <c r="H82" s="273"/>
      <c r="I82" s="275">
        <f t="shared" si="22"/>
        <v>223993.88888888899</v>
      </c>
      <c r="J82" s="271">
        <f t="shared" si="18"/>
        <v>30</v>
      </c>
    </row>
    <row r="83" spans="1:12" s="271" customFormat="1">
      <c r="A83" s="271">
        <f t="shared" si="19"/>
        <v>54</v>
      </c>
      <c r="B83" s="272">
        <f t="shared" si="15"/>
        <v>47057</v>
      </c>
      <c r="C83" s="272">
        <f t="shared" si="17"/>
        <v>47087</v>
      </c>
      <c r="D83" s="355"/>
      <c r="E83" s="274">
        <f t="shared" si="12"/>
        <v>141666.66666666666</v>
      </c>
      <c r="F83" s="274">
        <f t="shared" si="21"/>
        <v>12891666.666666683</v>
      </c>
      <c r="G83" s="273">
        <f t="shared" si="13"/>
        <v>84146.773148148262</v>
      </c>
      <c r="H83" s="273"/>
      <c r="I83" s="275">
        <f t="shared" si="22"/>
        <v>225813.43981481492</v>
      </c>
      <c r="J83" s="271">
        <f t="shared" si="18"/>
        <v>31</v>
      </c>
    </row>
    <row r="84" spans="1:12" s="271" customFormat="1">
      <c r="A84" s="271">
        <f t="shared" si="19"/>
        <v>55</v>
      </c>
      <c r="B84" s="272">
        <f t="shared" si="15"/>
        <v>47087</v>
      </c>
      <c r="C84" s="272">
        <f t="shared" si="17"/>
        <v>47118</v>
      </c>
      <c r="D84" s="355"/>
      <c r="E84" s="274">
        <f t="shared" si="12"/>
        <v>141666.66666666666</v>
      </c>
      <c r="F84" s="274">
        <f t="shared" si="21"/>
        <v>12750000.000000017</v>
      </c>
      <c r="G84" s="273">
        <f t="shared" si="13"/>
        <v>80537.500000000102</v>
      </c>
      <c r="H84" s="273"/>
      <c r="I84" s="275">
        <f t="shared" si="22"/>
        <v>222204.16666666674</v>
      </c>
      <c r="J84" s="271">
        <f t="shared" si="18"/>
        <v>30</v>
      </c>
    </row>
    <row r="85" spans="1:12" s="281" customFormat="1">
      <c r="A85" s="281">
        <f t="shared" si="19"/>
        <v>56</v>
      </c>
      <c r="B85" s="282">
        <f t="shared" si="15"/>
        <v>47118</v>
      </c>
      <c r="C85" s="282">
        <f t="shared" si="17"/>
        <v>47149</v>
      </c>
      <c r="D85" s="354"/>
      <c r="E85" s="283">
        <f t="shared" ref="E85:E148" si="23">E84</f>
        <v>141666.66666666666</v>
      </c>
      <c r="F85" s="283">
        <f t="shared" si="21"/>
        <v>12608333.333333351</v>
      </c>
      <c r="G85" s="285">
        <f t="shared" si="13"/>
        <v>82297.393518518642</v>
      </c>
      <c r="H85" s="285"/>
      <c r="I85" s="284">
        <f t="shared" si="22"/>
        <v>223964.06018518528</v>
      </c>
      <c r="J85" s="281">
        <f t="shared" si="18"/>
        <v>31</v>
      </c>
      <c r="K85" s="286">
        <f>SUM(E74:E85)</f>
        <v>1700000.0000000002</v>
      </c>
      <c r="L85" s="286">
        <f>SUM(G74:G85)</f>
        <v>1031536.2314814826</v>
      </c>
    </row>
    <row r="86" spans="1:12" s="271" customFormat="1">
      <c r="A86" s="271">
        <f t="shared" si="19"/>
        <v>57</v>
      </c>
      <c r="B86" s="272">
        <f t="shared" si="15"/>
        <v>47149</v>
      </c>
      <c r="C86" s="272">
        <f t="shared" si="17"/>
        <v>47177</v>
      </c>
      <c r="D86" s="355"/>
      <c r="E86" s="274">
        <f t="shared" si="23"/>
        <v>141666.66666666666</v>
      </c>
      <c r="F86" s="274">
        <f t="shared" si="21"/>
        <v>12466666.666666685</v>
      </c>
      <c r="G86" s="273">
        <f t="shared" si="13"/>
        <v>81372.703703703824</v>
      </c>
      <c r="H86" s="273"/>
      <c r="I86" s="275">
        <f t="shared" si="22"/>
        <v>223039.37037037048</v>
      </c>
      <c r="J86" s="271">
        <f t="shared" si="18"/>
        <v>31</v>
      </c>
    </row>
    <row r="87" spans="1:12" s="271" customFormat="1">
      <c r="A87" s="271">
        <f t="shared" si="19"/>
        <v>58</v>
      </c>
      <c r="B87" s="272">
        <f t="shared" si="15"/>
        <v>47177</v>
      </c>
      <c r="C87" s="272">
        <f t="shared" si="17"/>
        <v>47208</v>
      </c>
      <c r="D87" s="355"/>
      <c r="E87" s="274">
        <f t="shared" si="23"/>
        <v>141666.66666666666</v>
      </c>
      <c r="F87" s="274">
        <f t="shared" si="21"/>
        <v>12325000.000000019</v>
      </c>
      <c r="G87" s="273">
        <f t="shared" si="13"/>
        <v>72662.72222222235</v>
      </c>
      <c r="H87" s="273"/>
      <c r="I87" s="275">
        <f t="shared" si="22"/>
        <v>214329.38888888899</v>
      </c>
      <c r="J87" s="271">
        <f t="shared" si="18"/>
        <v>28</v>
      </c>
    </row>
    <row r="88" spans="1:12" s="271" customFormat="1">
      <c r="A88" s="271">
        <f t="shared" si="19"/>
        <v>59</v>
      </c>
      <c r="B88" s="272">
        <f t="shared" si="15"/>
        <v>47208</v>
      </c>
      <c r="C88" s="272">
        <f t="shared" si="17"/>
        <v>47238</v>
      </c>
      <c r="D88" s="355"/>
      <c r="E88" s="274">
        <f t="shared" si="23"/>
        <v>141666.66666666666</v>
      </c>
      <c r="F88" s="274">
        <f t="shared" si="21"/>
        <v>12183333.333333353</v>
      </c>
      <c r="G88" s="273">
        <f t="shared" ref="G88:G144" si="24">J88*$E$8*F88/360</f>
        <v>79523.324074074204</v>
      </c>
      <c r="H88" s="273"/>
      <c r="I88" s="275">
        <f t="shared" si="22"/>
        <v>221189.99074074085</v>
      </c>
      <c r="J88" s="271">
        <f t="shared" si="18"/>
        <v>31</v>
      </c>
    </row>
    <row r="89" spans="1:12" s="271" customFormat="1">
      <c r="A89" s="271">
        <f t="shared" si="19"/>
        <v>60</v>
      </c>
      <c r="B89" s="272">
        <f t="shared" si="15"/>
        <v>47238</v>
      </c>
      <c r="C89" s="272">
        <f t="shared" si="17"/>
        <v>47269</v>
      </c>
      <c r="D89" s="355"/>
      <c r="E89" s="274">
        <f t="shared" si="23"/>
        <v>141666.66666666666</v>
      </c>
      <c r="F89" s="274">
        <f t="shared" si="21"/>
        <v>12041666.666666687</v>
      </c>
      <c r="G89" s="273">
        <f t="shared" si="24"/>
        <v>76063.194444444569</v>
      </c>
      <c r="H89" s="273"/>
      <c r="I89" s="275">
        <f t="shared" si="22"/>
        <v>217729.86111111124</v>
      </c>
      <c r="J89" s="271">
        <f t="shared" si="18"/>
        <v>30</v>
      </c>
    </row>
    <row r="90" spans="1:12" s="271" customFormat="1">
      <c r="A90" s="271">
        <f t="shared" ref="A90:A153" si="25">A89+1</f>
        <v>61</v>
      </c>
      <c r="B90" s="272">
        <f t="shared" si="15"/>
        <v>47269</v>
      </c>
      <c r="C90" s="272">
        <f t="shared" si="17"/>
        <v>47299</v>
      </c>
      <c r="D90" s="355"/>
      <c r="E90" s="274">
        <f t="shared" si="23"/>
        <v>141666.66666666666</v>
      </c>
      <c r="F90" s="274">
        <f t="shared" si="21"/>
        <v>11900000.00000002</v>
      </c>
      <c r="G90" s="273">
        <f t="shared" si="24"/>
        <v>77673.944444444583</v>
      </c>
      <c r="H90" s="273"/>
      <c r="I90" s="275">
        <f t="shared" si="22"/>
        <v>219340.61111111124</v>
      </c>
      <c r="J90" s="271">
        <f t="shared" si="18"/>
        <v>31</v>
      </c>
    </row>
    <row r="91" spans="1:12" s="271" customFormat="1">
      <c r="A91" s="271">
        <f t="shared" si="25"/>
        <v>62</v>
      </c>
      <c r="B91" s="272">
        <f t="shared" ref="B91:B156" si="26">EOMONTH(B90,1)</f>
        <v>47299</v>
      </c>
      <c r="C91" s="272">
        <f t="shared" si="17"/>
        <v>47330</v>
      </c>
      <c r="D91" s="355"/>
      <c r="E91" s="274">
        <f t="shared" si="23"/>
        <v>141666.66666666666</v>
      </c>
      <c r="F91" s="274">
        <f t="shared" si="21"/>
        <v>11758333.333333354</v>
      </c>
      <c r="G91" s="273">
        <f t="shared" si="24"/>
        <v>74273.47222222235</v>
      </c>
      <c r="H91" s="273"/>
      <c r="I91" s="275">
        <f t="shared" si="22"/>
        <v>215940.13888888899</v>
      </c>
      <c r="J91" s="271">
        <f t="shared" si="18"/>
        <v>30</v>
      </c>
    </row>
    <row r="92" spans="1:12" s="271" customFormat="1">
      <c r="A92" s="271">
        <f t="shared" si="25"/>
        <v>63</v>
      </c>
      <c r="B92" s="272">
        <f t="shared" si="26"/>
        <v>47330</v>
      </c>
      <c r="C92" s="272">
        <f t="shared" si="17"/>
        <v>47361</v>
      </c>
      <c r="D92" s="355"/>
      <c r="E92" s="274">
        <f t="shared" si="23"/>
        <v>141666.66666666666</v>
      </c>
      <c r="F92" s="274">
        <f t="shared" si="21"/>
        <v>11616666.666666688</v>
      </c>
      <c r="G92" s="273">
        <f t="shared" si="24"/>
        <v>75824.564814814963</v>
      </c>
      <c r="H92" s="273"/>
      <c r="I92" s="275">
        <f t="shared" si="22"/>
        <v>217491.23148148163</v>
      </c>
      <c r="J92" s="271">
        <f t="shared" si="18"/>
        <v>31</v>
      </c>
    </row>
    <row r="93" spans="1:12" s="271" customFormat="1">
      <c r="A93" s="271">
        <f t="shared" si="25"/>
        <v>64</v>
      </c>
      <c r="B93" s="272">
        <f t="shared" si="26"/>
        <v>47361</v>
      </c>
      <c r="C93" s="272">
        <f t="shared" ref="C93:C143" si="27">B94</f>
        <v>47391</v>
      </c>
      <c r="D93" s="355"/>
      <c r="E93" s="274">
        <f t="shared" si="23"/>
        <v>141666.66666666666</v>
      </c>
      <c r="F93" s="274">
        <f t="shared" si="21"/>
        <v>11475000.000000022</v>
      </c>
      <c r="G93" s="273">
        <f t="shared" si="24"/>
        <v>74899.875000000146</v>
      </c>
      <c r="H93" s="273"/>
      <c r="I93" s="275">
        <f t="shared" si="22"/>
        <v>216566.5416666668</v>
      </c>
      <c r="J93" s="271">
        <f t="shared" ref="J93:J144" si="28">(B93-B92)</f>
        <v>31</v>
      </c>
    </row>
    <row r="94" spans="1:12" s="271" customFormat="1">
      <c r="A94" s="271">
        <f t="shared" si="25"/>
        <v>65</v>
      </c>
      <c r="B94" s="272">
        <f t="shared" si="26"/>
        <v>47391</v>
      </c>
      <c r="C94" s="272">
        <f t="shared" si="27"/>
        <v>47422</v>
      </c>
      <c r="D94" s="355"/>
      <c r="E94" s="274">
        <f t="shared" si="23"/>
        <v>141666.66666666666</v>
      </c>
      <c r="F94" s="274">
        <f t="shared" si="21"/>
        <v>11333333.333333356</v>
      </c>
      <c r="G94" s="273">
        <f t="shared" si="24"/>
        <v>71588.888888889036</v>
      </c>
      <c r="H94" s="273"/>
      <c r="I94" s="275">
        <f t="shared" si="22"/>
        <v>213255.55555555568</v>
      </c>
      <c r="J94" s="271">
        <f t="shared" si="28"/>
        <v>30</v>
      </c>
    </row>
    <row r="95" spans="1:12" s="271" customFormat="1">
      <c r="A95" s="271">
        <f t="shared" si="25"/>
        <v>66</v>
      </c>
      <c r="B95" s="272">
        <f t="shared" si="26"/>
        <v>47422</v>
      </c>
      <c r="C95" s="272">
        <f t="shared" si="27"/>
        <v>47452</v>
      </c>
      <c r="D95" s="355"/>
      <c r="E95" s="274">
        <f t="shared" si="23"/>
        <v>141666.66666666666</v>
      </c>
      <c r="F95" s="274">
        <f t="shared" si="21"/>
        <v>11191666.66666669</v>
      </c>
      <c r="G95" s="273">
        <f t="shared" si="24"/>
        <v>73050.49537037054</v>
      </c>
      <c r="H95" s="273"/>
      <c r="I95" s="275">
        <f t="shared" si="22"/>
        <v>214717.1620370372</v>
      </c>
      <c r="J95" s="271">
        <f t="shared" si="28"/>
        <v>31</v>
      </c>
    </row>
    <row r="96" spans="1:12" s="271" customFormat="1">
      <c r="A96" s="271">
        <f t="shared" si="25"/>
        <v>67</v>
      </c>
      <c r="B96" s="272">
        <f t="shared" si="26"/>
        <v>47452</v>
      </c>
      <c r="C96" s="272">
        <f t="shared" si="27"/>
        <v>47483</v>
      </c>
      <c r="D96" s="355"/>
      <c r="E96" s="274">
        <f t="shared" si="23"/>
        <v>141666.66666666666</v>
      </c>
      <c r="F96" s="274">
        <f t="shared" si="21"/>
        <v>11050000.000000024</v>
      </c>
      <c r="G96" s="273">
        <f t="shared" si="24"/>
        <v>69799.166666666817</v>
      </c>
      <c r="H96" s="273"/>
      <c r="I96" s="275">
        <f t="shared" si="22"/>
        <v>211465.83333333349</v>
      </c>
      <c r="J96" s="271">
        <f t="shared" si="28"/>
        <v>30</v>
      </c>
    </row>
    <row r="97" spans="1:12" s="281" customFormat="1">
      <c r="A97" s="281">
        <f t="shared" si="25"/>
        <v>68</v>
      </c>
      <c r="B97" s="282">
        <f t="shared" si="26"/>
        <v>47483</v>
      </c>
      <c r="C97" s="282">
        <f t="shared" si="27"/>
        <v>47514</v>
      </c>
      <c r="D97" s="354"/>
      <c r="E97" s="283">
        <f t="shared" si="23"/>
        <v>141666.66666666666</v>
      </c>
      <c r="F97" s="283">
        <f t="shared" si="21"/>
        <v>10908333.333333358</v>
      </c>
      <c r="G97" s="285">
        <f t="shared" si="24"/>
        <v>71201.115740740905</v>
      </c>
      <c r="H97" s="285"/>
      <c r="I97" s="284">
        <f t="shared" si="22"/>
        <v>212867.78240740756</v>
      </c>
      <c r="J97" s="281">
        <f t="shared" si="28"/>
        <v>31</v>
      </c>
      <c r="K97" s="286">
        <f>SUM(E86:E97)</f>
        <v>1700000.0000000002</v>
      </c>
      <c r="L97" s="286">
        <f>SUM(G86:G97)</f>
        <v>897933.46759259433</v>
      </c>
    </row>
    <row r="98" spans="1:12" s="271" customFormat="1">
      <c r="A98" s="271">
        <f t="shared" si="25"/>
        <v>69</v>
      </c>
      <c r="B98" s="272">
        <f t="shared" si="26"/>
        <v>47514</v>
      </c>
      <c r="C98" s="272">
        <f t="shared" si="27"/>
        <v>47542</v>
      </c>
      <c r="D98" s="355"/>
      <c r="E98" s="274">
        <f t="shared" si="23"/>
        <v>141666.66666666666</v>
      </c>
      <c r="F98" s="274">
        <f t="shared" si="21"/>
        <v>10766666.666666692</v>
      </c>
      <c r="G98" s="273">
        <f t="shared" si="24"/>
        <v>70276.425925926102</v>
      </c>
      <c r="H98" s="273"/>
      <c r="I98" s="275">
        <f t="shared" si="22"/>
        <v>211943.09259259276</v>
      </c>
      <c r="J98" s="271">
        <f t="shared" si="28"/>
        <v>31</v>
      </c>
    </row>
    <row r="99" spans="1:12" s="271" customFormat="1">
      <c r="A99" s="271">
        <f t="shared" si="25"/>
        <v>70</v>
      </c>
      <c r="B99" s="272">
        <f t="shared" si="26"/>
        <v>47542</v>
      </c>
      <c r="C99" s="272">
        <f t="shared" si="27"/>
        <v>47573</v>
      </c>
      <c r="D99" s="355"/>
      <c r="E99" s="274">
        <f t="shared" si="23"/>
        <v>141666.66666666666</v>
      </c>
      <c r="F99" s="274">
        <f t="shared" si="21"/>
        <v>10625000.000000026</v>
      </c>
      <c r="G99" s="273">
        <f t="shared" si="24"/>
        <v>62640.277777777941</v>
      </c>
      <c r="H99" s="273"/>
      <c r="I99" s="275">
        <f t="shared" si="22"/>
        <v>204306.94444444461</v>
      </c>
      <c r="J99" s="271">
        <f t="shared" si="28"/>
        <v>28</v>
      </c>
    </row>
    <row r="100" spans="1:12" s="271" customFormat="1">
      <c r="A100" s="271">
        <f t="shared" si="25"/>
        <v>71</v>
      </c>
      <c r="B100" s="272">
        <f t="shared" si="26"/>
        <v>47573</v>
      </c>
      <c r="C100" s="272">
        <f t="shared" si="27"/>
        <v>47603</v>
      </c>
      <c r="D100" s="355"/>
      <c r="E100" s="274">
        <f t="shared" si="23"/>
        <v>141666.66666666666</v>
      </c>
      <c r="F100" s="274">
        <f t="shared" si="21"/>
        <v>10483333.33333336</v>
      </c>
      <c r="G100" s="273">
        <f t="shared" si="24"/>
        <v>68427.046296296481</v>
      </c>
      <c r="H100" s="273"/>
      <c r="I100" s="275">
        <f t="shared" si="22"/>
        <v>210093.71296296315</v>
      </c>
      <c r="J100" s="271">
        <f t="shared" si="28"/>
        <v>31</v>
      </c>
    </row>
    <row r="101" spans="1:12" s="271" customFormat="1">
      <c r="A101" s="271">
        <f t="shared" si="25"/>
        <v>72</v>
      </c>
      <c r="B101" s="272">
        <f t="shared" si="26"/>
        <v>47603</v>
      </c>
      <c r="C101" s="272">
        <f t="shared" si="27"/>
        <v>47634</v>
      </c>
      <c r="D101" s="355"/>
      <c r="E101" s="274">
        <f t="shared" si="23"/>
        <v>141666.66666666666</v>
      </c>
      <c r="F101" s="274">
        <f t="shared" si="21"/>
        <v>10341666.666666694</v>
      </c>
      <c r="G101" s="273">
        <f t="shared" si="24"/>
        <v>65324.861111111284</v>
      </c>
      <c r="H101" s="273"/>
      <c r="I101" s="275">
        <f t="shared" si="22"/>
        <v>206991.52777777793</v>
      </c>
      <c r="J101" s="271">
        <f t="shared" si="28"/>
        <v>30</v>
      </c>
    </row>
    <row r="102" spans="1:12" s="271" customFormat="1">
      <c r="A102" s="271">
        <f t="shared" si="25"/>
        <v>73</v>
      </c>
      <c r="B102" s="272">
        <f t="shared" si="26"/>
        <v>47634</v>
      </c>
      <c r="C102" s="272">
        <f t="shared" si="27"/>
        <v>47664</v>
      </c>
      <c r="D102" s="355"/>
      <c r="E102" s="274">
        <f t="shared" si="23"/>
        <v>141666.66666666666</v>
      </c>
      <c r="F102" s="274">
        <f t="shared" ref="F102:F144" si="29">F101-E101</f>
        <v>10200000.000000028</v>
      </c>
      <c r="G102" s="273">
        <f t="shared" si="24"/>
        <v>66577.666666666846</v>
      </c>
      <c r="H102" s="273"/>
      <c r="I102" s="275">
        <f t="shared" si="22"/>
        <v>208244.33333333349</v>
      </c>
      <c r="J102" s="271">
        <f t="shared" si="28"/>
        <v>31</v>
      </c>
    </row>
    <row r="103" spans="1:12" s="271" customFormat="1">
      <c r="A103" s="271">
        <f t="shared" si="25"/>
        <v>74</v>
      </c>
      <c r="B103" s="272">
        <f t="shared" si="26"/>
        <v>47664</v>
      </c>
      <c r="C103" s="272">
        <f t="shared" si="27"/>
        <v>47695</v>
      </c>
      <c r="D103" s="355"/>
      <c r="E103" s="274">
        <f t="shared" si="23"/>
        <v>141666.66666666666</v>
      </c>
      <c r="F103" s="274">
        <f t="shared" si="29"/>
        <v>10058333.333333362</v>
      </c>
      <c r="G103" s="273">
        <f t="shared" si="24"/>
        <v>63535.138888889065</v>
      </c>
      <c r="H103" s="273"/>
      <c r="I103" s="275">
        <f t="shared" si="22"/>
        <v>205201.80555555574</v>
      </c>
      <c r="J103" s="271">
        <f t="shared" si="28"/>
        <v>30</v>
      </c>
    </row>
    <row r="104" spans="1:12" s="271" customFormat="1">
      <c r="A104" s="271">
        <f t="shared" si="25"/>
        <v>75</v>
      </c>
      <c r="B104" s="272">
        <f t="shared" si="26"/>
        <v>47695</v>
      </c>
      <c r="C104" s="272">
        <f t="shared" si="27"/>
        <v>47726</v>
      </c>
      <c r="D104" s="355"/>
      <c r="E104" s="274">
        <f t="shared" si="23"/>
        <v>141666.66666666666</v>
      </c>
      <c r="F104" s="274">
        <f t="shared" si="29"/>
        <v>9916666.6666666958</v>
      </c>
      <c r="G104" s="273">
        <f t="shared" si="24"/>
        <v>64728.287037037233</v>
      </c>
      <c r="H104" s="273"/>
      <c r="I104" s="275">
        <f t="shared" si="22"/>
        <v>206394.95370370388</v>
      </c>
      <c r="J104" s="271">
        <f t="shared" si="28"/>
        <v>31</v>
      </c>
    </row>
    <row r="105" spans="1:12" s="271" customFormat="1">
      <c r="A105" s="271">
        <f t="shared" si="25"/>
        <v>76</v>
      </c>
      <c r="B105" s="272">
        <f t="shared" si="26"/>
        <v>47726</v>
      </c>
      <c r="C105" s="272">
        <f t="shared" si="27"/>
        <v>47756</v>
      </c>
      <c r="D105" s="355"/>
      <c r="E105" s="274">
        <f t="shared" si="23"/>
        <v>141666.66666666666</v>
      </c>
      <c r="F105" s="274">
        <f t="shared" si="29"/>
        <v>9775000.0000000298</v>
      </c>
      <c r="G105" s="273">
        <f t="shared" si="24"/>
        <v>63803.597222222415</v>
      </c>
      <c r="H105" s="273"/>
      <c r="I105" s="275">
        <f t="shared" si="22"/>
        <v>205470.26388888908</v>
      </c>
      <c r="J105" s="271">
        <f t="shared" si="28"/>
        <v>31</v>
      </c>
    </row>
    <row r="106" spans="1:12" s="271" customFormat="1">
      <c r="A106" s="271">
        <f t="shared" si="25"/>
        <v>77</v>
      </c>
      <c r="B106" s="272">
        <f t="shared" si="26"/>
        <v>47756</v>
      </c>
      <c r="C106" s="272">
        <f t="shared" si="27"/>
        <v>47787</v>
      </c>
      <c r="D106" s="355"/>
      <c r="E106" s="274">
        <f t="shared" si="23"/>
        <v>141666.66666666666</v>
      </c>
      <c r="F106" s="274">
        <f t="shared" si="29"/>
        <v>9633333.3333333638</v>
      </c>
      <c r="G106" s="273">
        <f t="shared" si="24"/>
        <v>60850.555555555751</v>
      </c>
      <c r="H106" s="273"/>
      <c r="I106" s="275">
        <f t="shared" si="22"/>
        <v>202517.22222222242</v>
      </c>
      <c r="J106" s="271">
        <f t="shared" si="28"/>
        <v>30</v>
      </c>
    </row>
    <row r="107" spans="1:12" s="271" customFormat="1">
      <c r="A107" s="271">
        <f t="shared" si="25"/>
        <v>78</v>
      </c>
      <c r="B107" s="272">
        <f t="shared" si="26"/>
        <v>47787</v>
      </c>
      <c r="C107" s="272">
        <f t="shared" si="27"/>
        <v>47817</v>
      </c>
      <c r="D107" s="355"/>
      <c r="E107" s="274">
        <f t="shared" si="23"/>
        <v>141666.66666666666</v>
      </c>
      <c r="F107" s="274">
        <f t="shared" si="29"/>
        <v>9491666.6666666977</v>
      </c>
      <c r="G107" s="273">
        <f t="shared" si="24"/>
        <v>61954.217592592795</v>
      </c>
      <c r="H107" s="273"/>
      <c r="I107" s="275">
        <f t="shared" si="22"/>
        <v>203620.88425925944</v>
      </c>
      <c r="J107" s="271">
        <f t="shared" si="28"/>
        <v>31</v>
      </c>
    </row>
    <row r="108" spans="1:12" s="271" customFormat="1">
      <c r="A108" s="271">
        <f t="shared" si="25"/>
        <v>79</v>
      </c>
      <c r="B108" s="272">
        <f t="shared" si="26"/>
        <v>47817</v>
      </c>
      <c r="C108" s="272">
        <f t="shared" si="27"/>
        <v>47848</v>
      </c>
      <c r="D108" s="355"/>
      <c r="E108" s="274">
        <f t="shared" si="23"/>
        <v>141666.66666666666</v>
      </c>
      <c r="F108" s="274">
        <f t="shared" si="29"/>
        <v>9350000.0000000317</v>
      </c>
      <c r="G108" s="273">
        <f t="shared" si="24"/>
        <v>59060.833333333532</v>
      </c>
      <c r="H108" s="273"/>
      <c r="I108" s="275">
        <f t="shared" si="22"/>
        <v>200727.50000000017</v>
      </c>
      <c r="J108" s="271">
        <f t="shared" si="28"/>
        <v>30</v>
      </c>
    </row>
    <row r="109" spans="1:12" s="281" customFormat="1">
      <c r="A109" s="281">
        <f t="shared" si="25"/>
        <v>80</v>
      </c>
      <c r="B109" s="282">
        <f t="shared" si="26"/>
        <v>47848</v>
      </c>
      <c r="C109" s="282">
        <f t="shared" si="27"/>
        <v>47879</v>
      </c>
      <c r="D109" s="354"/>
      <c r="E109" s="283">
        <f t="shared" si="23"/>
        <v>141666.66666666666</v>
      </c>
      <c r="F109" s="283">
        <f t="shared" si="29"/>
        <v>9208333.3333333656</v>
      </c>
      <c r="G109" s="285">
        <f t="shared" si="24"/>
        <v>60104.837962963175</v>
      </c>
      <c r="H109" s="285"/>
      <c r="I109" s="284">
        <f t="shared" si="22"/>
        <v>201771.50462962984</v>
      </c>
      <c r="J109" s="281">
        <f t="shared" si="28"/>
        <v>31</v>
      </c>
      <c r="K109" s="286">
        <f>SUM(E98:E109)</f>
        <v>1700000.0000000002</v>
      </c>
      <c r="L109" s="286">
        <f>SUM(G98:G109)</f>
        <v>767283.74537037255</v>
      </c>
    </row>
    <row r="110" spans="1:12" s="271" customFormat="1">
      <c r="A110" s="271">
        <f t="shared" si="25"/>
        <v>81</v>
      </c>
      <c r="B110" s="272">
        <f t="shared" si="26"/>
        <v>47879</v>
      </c>
      <c r="C110" s="272">
        <f t="shared" si="27"/>
        <v>47907</v>
      </c>
      <c r="D110" s="355"/>
      <c r="E110" s="274">
        <f t="shared" si="23"/>
        <v>141666.66666666666</v>
      </c>
      <c r="F110" s="274">
        <f t="shared" si="29"/>
        <v>9066666.6666666996</v>
      </c>
      <c r="G110" s="273">
        <f t="shared" si="24"/>
        <v>59180.148148148364</v>
      </c>
      <c r="H110" s="273"/>
      <c r="I110" s="275">
        <f t="shared" si="22"/>
        <v>200846.81481481501</v>
      </c>
      <c r="J110" s="271">
        <f t="shared" si="28"/>
        <v>31</v>
      </c>
    </row>
    <row r="111" spans="1:12" s="271" customFormat="1">
      <c r="A111" s="271">
        <f t="shared" si="25"/>
        <v>82</v>
      </c>
      <c r="B111" s="272">
        <f t="shared" si="26"/>
        <v>47907</v>
      </c>
      <c r="C111" s="272">
        <f t="shared" si="27"/>
        <v>47938</v>
      </c>
      <c r="D111" s="355"/>
      <c r="E111" s="274">
        <f t="shared" si="23"/>
        <v>141666.66666666666</v>
      </c>
      <c r="F111" s="274">
        <f t="shared" si="29"/>
        <v>8925000.0000000335</v>
      </c>
      <c r="G111" s="273">
        <f t="shared" si="24"/>
        <v>52617.833333333539</v>
      </c>
      <c r="H111" s="273"/>
      <c r="I111" s="275">
        <f t="shared" si="22"/>
        <v>194284.5000000002</v>
      </c>
      <c r="J111" s="271">
        <f t="shared" si="28"/>
        <v>28</v>
      </c>
    </row>
    <row r="112" spans="1:12" s="271" customFormat="1">
      <c r="A112" s="271">
        <f t="shared" si="25"/>
        <v>83</v>
      </c>
      <c r="B112" s="272">
        <f t="shared" si="26"/>
        <v>47938</v>
      </c>
      <c r="C112" s="272">
        <f t="shared" si="27"/>
        <v>47968</v>
      </c>
      <c r="D112" s="355"/>
      <c r="E112" s="274">
        <f t="shared" si="23"/>
        <v>141666.66666666666</v>
      </c>
      <c r="F112" s="274">
        <f t="shared" si="29"/>
        <v>8783333.3333333675</v>
      </c>
      <c r="G112" s="273">
        <f t="shared" si="24"/>
        <v>57330.768518518737</v>
      </c>
      <c r="H112" s="273"/>
      <c r="I112" s="275">
        <f t="shared" si="22"/>
        <v>198997.4351851854</v>
      </c>
      <c r="J112" s="271">
        <f t="shared" si="28"/>
        <v>31</v>
      </c>
    </row>
    <row r="113" spans="1:12" s="271" customFormat="1">
      <c r="A113" s="271">
        <f t="shared" si="25"/>
        <v>84</v>
      </c>
      <c r="B113" s="272">
        <f t="shared" si="26"/>
        <v>47968</v>
      </c>
      <c r="C113" s="272">
        <f t="shared" si="27"/>
        <v>47999</v>
      </c>
      <c r="D113" s="355"/>
      <c r="E113" s="274">
        <f t="shared" si="23"/>
        <v>141666.66666666666</v>
      </c>
      <c r="F113" s="274">
        <f t="shared" si="29"/>
        <v>8641666.6666667014</v>
      </c>
      <c r="G113" s="273">
        <f t="shared" si="24"/>
        <v>54586.527777777992</v>
      </c>
      <c r="H113" s="273"/>
      <c r="I113" s="275">
        <f t="shared" si="22"/>
        <v>196253.19444444464</v>
      </c>
      <c r="J113" s="271">
        <f t="shared" si="28"/>
        <v>30</v>
      </c>
    </row>
    <row r="114" spans="1:12" s="271" customFormat="1">
      <c r="A114" s="271">
        <f t="shared" si="25"/>
        <v>85</v>
      </c>
      <c r="B114" s="272">
        <f t="shared" si="26"/>
        <v>47999</v>
      </c>
      <c r="C114" s="272">
        <f t="shared" si="27"/>
        <v>48029</v>
      </c>
      <c r="D114" s="355"/>
      <c r="E114" s="274">
        <f t="shared" si="23"/>
        <v>141666.66666666666</v>
      </c>
      <c r="F114" s="274">
        <f t="shared" si="29"/>
        <v>8500000.0000000354</v>
      </c>
      <c r="G114" s="273">
        <f t="shared" si="24"/>
        <v>55481.388888889123</v>
      </c>
      <c r="H114" s="273"/>
      <c r="I114" s="275">
        <f t="shared" si="22"/>
        <v>197148.05555555579</v>
      </c>
      <c r="J114" s="271">
        <f t="shared" si="28"/>
        <v>31</v>
      </c>
    </row>
    <row r="115" spans="1:12" s="271" customFormat="1">
      <c r="A115" s="271">
        <f t="shared" si="25"/>
        <v>86</v>
      </c>
      <c r="B115" s="272">
        <f t="shared" si="26"/>
        <v>48029</v>
      </c>
      <c r="C115" s="272">
        <f t="shared" si="27"/>
        <v>48060</v>
      </c>
      <c r="D115" s="355"/>
      <c r="E115" s="274">
        <f t="shared" si="23"/>
        <v>141666.66666666666</v>
      </c>
      <c r="F115" s="274">
        <f t="shared" si="29"/>
        <v>8358333.3333333684</v>
      </c>
      <c r="G115" s="273">
        <f t="shared" si="24"/>
        <v>52796.805555555773</v>
      </c>
      <c r="H115" s="273"/>
      <c r="I115" s="275">
        <f t="shared" si="22"/>
        <v>194463.47222222242</v>
      </c>
      <c r="J115" s="271">
        <f t="shared" si="28"/>
        <v>30</v>
      </c>
    </row>
    <row r="116" spans="1:12" s="271" customFormat="1">
      <c r="A116" s="271">
        <f t="shared" si="25"/>
        <v>87</v>
      </c>
      <c r="B116" s="272">
        <f t="shared" si="26"/>
        <v>48060</v>
      </c>
      <c r="C116" s="272">
        <f t="shared" si="27"/>
        <v>48091</v>
      </c>
      <c r="D116" s="355"/>
      <c r="E116" s="274">
        <f t="shared" si="23"/>
        <v>141666.66666666666</v>
      </c>
      <c r="F116" s="274">
        <f t="shared" si="29"/>
        <v>8216666.6666667014</v>
      </c>
      <c r="G116" s="273">
        <f t="shared" si="24"/>
        <v>53632.009259259496</v>
      </c>
      <c r="H116" s="273"/>
      <c r="I116" s="275">
        <f t="shared" si="22"/>
        <v>195298.67592592616</v>
      </c>
      <c r="J116" s="271">
        <f t="shared" si="28"/>
        <v>31</v>
      </c>
    </row>
    <row r="117" spans="1:12" s="271" customFormat="1">
      <c r="A117" s="271">
        <f t="shared" si="25"/>
        <v>88</v>
      </c>
      <c r="B117" s="272">
        <f t="shared" si="26"/>
        <v>48091</v>
      </c>
      <c r="C117" s="272">
        <f t="shared" si="27"/>
        <v>48121</v>
      </c>
      <c r="D117" s="355"/>
      <c r="E117" s="274">
        <f t="shared" si="23"/>
        <v>141666.66666666666</v>
      </c>
      <c r="F117" s="274">
        <f t="shared" si="29"/>
        <v>8075000.0000000345</v>
      </c>
      <c r="G117" s="273">
        <f t="shared" si="24"/>
        <v>52707.319444444671</v>
      </c>
      <c r="H117" s="273"/>
      <c r="I117" s="275">
        <f t="shared" si="22"/>
        <v>194373.98611111133</v>
      </c>
      <c r="J117" s="271">
        <f t="shared" si="28"/>
        <v>31</v>
      </c>
    </row>
    <row r="118" spans="1:12" s="271" customFormat="1">
      <c r="A118" s="271">
        <f t="shared" si="25"/>
        <v>89</v>
      </c>
      <c r="B118" s="272">
        <f t="shared" si="26"/>
        <v>48121</v>
      </c>
      <c r="C118" s="272">
        <f t="shared" si="27"/>
        <v>48152</v>
      </c>
      <c r="D118" s="355"/>
      <c r="E118" s="274">
        <f t="shared" si="23"/>
        <v>141666.66666666666</v>
      </c>
      <c r="F118" s="274">
        <f t="shared" si="29"/>
        <v>7933333.3333333675</v>
      </c>
      <c r="G118" s="273">
        <f t="shared" si="24"/>
        <v>50112.222222222437</v>
      </c>
      <c r="H118" s="273"/>
      <c r="I118" s="275">
        <f t="shared" si="22"/>
        <v>191778.88888888911</v>
      </c>
      <c r="J118" s="271">
        <f t="shared" si="28"/>
        <v>30</v>
      </c>
    </row>
    <row r="119" spans="1:12" s="271" customFormat="1">
      <c r="A119" s="271">
        <f t="shared" si="25"/>
        <v>90</v>
      </c>
      <c r="B119" s="272">
        <f t="shared" si="26"/>
        <v>48152</v>
      </c>
      <c r="C119" s="272">
        <f t="shared" si="27"/>
        <v>48182</v>
      </c>
      <c r="D119" s="355"/>
      <c r="E119" s="274">
        <f t="shared" si="23"/>
        <v>141666.66666666666</v>
      </c>
      <c r="F119" s="274">
        <f t="shared" si="29"/>
        <v>7791666.6666667005</v>
      </c>
      <c r="G119" s="273">
        <f t="shared" si="24"/>
        <v>50857.939814815036</v>
      </c>
      <c r="H119" s="273"/>
      <c r="I119" s="275">
        <f t="shared" si="22"/>
        <v>192524.60648148169</v>
      </c>
      <c r="J119" s="271">
        <f t="shared" si="28"/>
        <v>31</v>
      </c>
    </row>
    <row r="120" spans="1:12" s="271" customFormat="1">
      <c r="A120" s="271">
        <f t="shared" si="25"/>
        <v>91</v>
      </c>
      <c r="B120" s="272">
        <f t="shared" si="26"/>
        <v>48182</v>
      </c>
      <c r="C120" s="272">
        <f t="shared" si="27"/>
        <v>48213</v>
      </c>
      <c r="D120" s="355"/>
      <c r="E120" s="274">
        <f t="shared" si="23"/>
        <v>141666.66666666666</v>
      </c>
      <c r="F120" s="274">
        <f t="shared" si="29"/>
        <v>7650000.0000000335</v>
      </c>
      <c r="G120" s="273">
        <f t="shared" si="24"/>
        <v>48322.500000000218</v>
      </c>
      <c r="H120" s="273"/>
      <c r="I120" s="275">
        <f t="shared" si="22"/>
        <v>189989.16666666686</v>
      </c>
      <c r="J120" s="271">
        <f t="shared" si="28"/>
        <v>30</v>
      </c>
    </row>
    <row r="121" spans="1:12" s="281" customFormat="1">
      <c r="A121" s="281">
        <f t="shared" si="25"/>
        <v>92</v>
      </c>
      <c r="B121" s="282">
        <f t="shared" si="26"/>
        <v>48213</v>
      </c>
      <c r="C121" s="282">
        <f t="shared" si="27"/>
        <v>48244</v>
      </c>
      <c r="D121" s="354"/>
      <c r="E121" s="283">
        <f t="shared" si="23"/>
        <v>141666.66666666666</v>
      </c>
      <c r="F121" s="283">
        <f t="shared" si="29"/>
        <v>7508333.3333333666</v>
      </c>
      <c r="G121" s="285">
        <f t="shared" si="24"/>
        <v>49008.560185185408</v>
      </c>
      <c r="H121" s="285"/>
      <c r="I121" s="284">
        <f t="shared" si="22"/>
        <v>190675.22685185206</v>
      </c>
      <c r="J121" s="281">
        <f t="shared" si="28"/>
        <v>31</v>
      </c>
      <c r="K121" s="286">
        <f>SUM(E110:E121)</f>
        <v>1700000.0000000002</v>
      </c>
      <c r="L121" s="286">
        <f>SUM(G110:G121)</f>
        <v>636634.02314815077</v>
      </c>
    </row>
    <row r="122" spans="1:12" s="271" customFormat="1">
      <c r="A122" s="271">
        <f t="shared" si="25"/>
        <v>93</v>
      </c>
      <c r="B122" s="272">
        <f t="shared" si="26"/>
        <v>48244</v>
      </c>
      <c r="C122" s="272">
        <f t="shared" si="27"/>
        <v>48273</v>
      </c>
      <c r="D122" s="355"/>
      <c r="E122" s="274">
        <f t="shared" si="23"/>
        <v>141666.66666666666</v>
      </c>
      <c r="F122" s="274">
        <f t="shared" si="29"/>
        <v>7366666.6666666996</v>
      </c>
      <c r="G122" s="273">
        <f t="shared" si="24"/>
        <v>48083.870370370583</v>
      </c>
      <c r="H122" s="273"/>
      <c r="I122" s="275">
        <f t="shared" si="22"/>
        <v>189750.53703703725</v>
      </c>
      <c r="J122" s="271">
        <f t="shared" si="28"/>
        <v>31</v>
      </c>
    </row>
    <row r="123" spans="1:12" s="271" customFormat="1">
      <c r="A123" s="271">
        <f t="shared" si="25"/>
        <v>94</v>
      </c>
      <c r="B123" s="272">
        <f t="shared" si="26"/>
        <v>48273</v>
      </c>
      <c r="C123" s="272">
        <f t="shared" si="27"/>
        <v>48304</v>
      </c>
      <c r="D123" s="355"/>
      <c r="E123" s="274">
        <f t="shared" si="23"/>
        <v>141666.66666666666</v>
      </c>
      <c r="F123" s="274">
        <f t="shared" si="29"/>
        <v>7225000.0000000326</v>
      </c>
      <c r="G123" s="273">
        <f t="shared" si="24"/>
        <v>44116.652777777985</v>
      </c>
      <c r="H123" s="273"/>
      <c r="I123" s="275">
        <f t="shared" si="22"/>
        <v>185783.31944444464</v>
      </c>
      <c r="J123" s="271">
        <f t="shared" si="28"/>
        <v>29</v>
      </c>
    </row>
    <row r="124" spans="1:12" s="271" customFormat="1">
      <c r="A124" s="271">
        <f t="shared" si="25"/>
        <v>95</v>
      </c>
      <c r="B124" s="272">
        <f t="shared" si="26"/>
        <v>48304</v>
      </c>
      <c r="C124" s="272">
        <f t="shared" si="27"/>
        <v>48334</v>
      </c>
      <c r="D124" s="355"/>
      <c r="E124" s="274">
        <f t="shared" si="23"/>
        <v>141666.66666666666</v>
      </c>
      <c r="F124" s="274">
        <f t="shared" si="29"/>
        <v>7083333.3333333656</v>
      </c>
      <c r="G124" s="273">
        <f t="shared" si="24"/>
        <v>46234.490740740948</v>
      </c>
      <c r="H124" s="273"/>
      <c r="I124" s="275">
        <f t="shared" si="22"/>
        <v>187901.15740740759</v>
      </c>
      <c r="J124" s="271">
        <f t="shared" si="28"/>
        <v>31</v>
      </c>
    </row>
    <row r="125" spans="1:12" s="271" customFormat="1">
      <c r="A125" s="271">
        <f t="shared" si="25"/>
        <v>96</v>
      </c>
      <c r="B125" s="272">
        <f t="shared" si="26"/>
        <v>48334</v>
      </c>
      <c r="C125" s="272">
        <f t="shared" si="27"/>
        <v>48365</v>
      </c>
      <c r="D125" s="355"/>
      <c r="E125" s="274">
        <f t="shared" si="23"/>
        <v>141666.66666666666</v>
      </c>
      <c r="F125" s="274">
        <f t="shared" si="29"/>
        <v>6941666.6666666986</v>
      </c>
      <c r="G125" s="273">
        <f t="shared" si="24"/>
        <v>43848.194444444649</v>
      </c>
      <c r="H125" s="273"/>
      <c r="I125" s="275">
        <f t="shared" si="22"/>
        <v>185514.8611111113</v>
      </c>
      <c r="J125" s="271">
        <f t="shared" si="28"/>
        <v>30</v>
      </c>
    </row>
    <row r="126" spans="1:12" s="271" customFormat="1">
      <c r="A126" s="271">
        <f t="shared" si="25"/>
        <v>97</v>
      </c>
      <c r="B126" s="272">
        <f t="shared" si="26"/>
        <v>48365</v>
      </c>
      <c r="C126" s="272">
        <f t="shared" si="27"/>
        <v>48395</v>
      </c>
      <c r="D126" s="355"/>
      <c r="E126" s="274">
        <f t="shared" si="23"/>
        <v>141666.66666666666</v>
      </c>
      <c r="F126" s="274">
        <f t="shared" si="29"/>
        <v>6800000.0000000317</v>
      </c>
      <c r="G126" s="273">
        <f t="shared" si="24"/>
        <v>44385.11111111132</v>
      </c>
      <c r="H126" s="273"/>
      <c r="I126" s="275">
        <f t="shared" si="22"/>
        <v>186051.77777777798</v>
      </c>
      <c r="J126" s="271">
        <f t="shared" si="28"/>
        <v>31</v>
      </c>
    </row>
    <row r="127" spans="1:12" s="271" customFormat="1">
      <c r="A127" s="271">
        <f t="shared" si="25"/>
        <v>98</v>
      </c>
      <c r="B127" s="272">
        <f t="shared" si="26"/>
        <v>48395</v>
      </c>
      <c r="C127" s="272">
        <f t="shared" si="27"/>
        <v>48426</v>
      </c>
      <c r="D127" s="355"/>
      <c r="E127" s="274">
        <f t="shared" si="23"/>
        <v>141666.66666666666</v>
      </c>
      <c r="F127" s="274">
        <f t="shared" si="29"/>
        <v>6658333.3333333647</v>
      </c>
      <c r="G127" s="273">
        <f t="shared" si="24"/>
        <v>42058.472222222415</v>
      </c>
      <c r="H127" s="273"/>
      <c r="I127" s="275">
        <f t="shared" si="22"/>
        <v>183725.13888888908</v>
      </c>
      <c r="J127" s="271">
        <f t="shared" si="28"/>
        <v>30</v>
      </c>
    </row>
    <row r="128" spans="1:12" s="271" customFormat="1">
      <c r="A128" s="271">
        <f t="shared" si="25"/>
        <v>99</v>
      </c>
      <c r="B128" s="272">
        <f t="shared" si="26"/>
        <v>48426</v>
      </c>
      <c r="C128" s="272">
        <f t="shared" si="27"/>
        <v>48457</v>
      </c>
      <c r="D128" s="355"/>
      <c r="E128" s="274">
        <f t="shared" si="23"/>
        <v>141666.66666666666</v>
      </c>
      <c r="F128" s="274">
        <f t="shared" si="29"/>
        <v>6516666.6666666977</v>
      </c>
      <c r="G128" s="273">
        <f t="shared" si="24"/>
        <v>42535.731481481685</v>
      </c>
      <c r="H128" s="273"/>
      <c r="I128" s="275">
        <f t="shared" si="22"/>
        <v>184202.39814814835</v>
      </c>
      <c r="J128" s="271">
        <f t="shared" si="28"/>
        <v>31</v>
      </c>
    </row>
    <row r="129" spans="1:12" s="271" customFormat="1">
      <c r="A129" s="271">
        <f t="shared" si="25"/>
        <v>100</v>
      </c>
      <c r="B129" s="272">
        <f t="shared" si="26"/>
        <v>48457</v>
      </c>
      <c r="C129" s="272">
        <f t="shared" si="27"/>
        <v>48487</v>
      </c>
      <c r="D129" s="355"/>
      <c r="E129" s="274">
        <f t="shared" si="23"/>
        <v>141666.66666666666</v>
      </c>
      <c r="F129" s="274">
        <f t="shared" si="29"/>
        <v>6375000.0000000307</v>
      </c>
      <c r="G129" s="273">
        <f t="shared" si="24"/>
        <v>41611.041666666868</v>
      </c>
      <c r="H129" s="273"/>
      <c r="I129" s="275">
        <f t="shared" si="22"/>
        <v>183277.70833333352</v>
      </c>
      <c r="J129" s="271">
        <f t="shared" si="28"/>
        <v>31</v>
      </c>
    </row>
    <row r="130" spans="1:12" s="271" customFormat="1">
      <c r="A130" s="271">
        <f t="shared" si="25"/>
        <v>101</v>
      </c>
      <c r="B130" s="272">
        <f t="shared" si="26"/>
        <v>48487</v>
      </c>
      <c r="C130" s="272">
        <f t="shared" si="27"/>
        <v>48518</v>
      </c>
      <c r="D130" s="355"/>
      <c r="E130" s="274">
        <f t="shared" si="23"/>
        <v>141666.66666666666</v>
      </c>
      <c r="F130" s="274">
        <f t="shared" si="29"/>
        <v>6233333.3333333638</v>
      </c>
      <c r="G130" s="273">
        <f t="shared" si="24"/>
        <v>39373.88888888908</v>
      </c>
      <c r="H130" s="273"/>
      <c r="I130" s="275">
        <f t="shared" si="22"/>
        <v>181040.55555555574</v>
      </c>
      <c r="J130" s="271">
        <f t="shared" si="28"/>
        <v>30</v>
      </c>
    </row>
    <row r="131" spans="1:12" s="271" customFormat="1">
      <c r="A131" s="271">
        <f t="shared" si="25"/>
        <v>102</v>
      </c>
      <c r="B131" s="272">
        <f t="shared" si="26"/>
        <v>48518</v>
      </c>
      <c r="C131" s="272">
        <f t="shared" si="27"/>
        <v>48548</v>
      </c>
      <c r="D131" s="355"/>
      <c r="E131" s="274">
        <f t="shared" si="23"/>
        <v>141666.66666666666</v>
      </c>
      <c r="F131" s="274">
        <f t="shared" si="29"/>
        <v>6091666.6666666968</v>
      </c>
      <c r="G131" s="273">
        <f t="shared" si="24"/>
        <v>39761.662037037233</v>
      </c>
      <c r="H131" s="273"/>
      <c r="I131" s="275">
        <f t="shared" si="22"/>
        <v>181428.32870370388</v>
      </c>
      <c r="J131" s="271">
        <f t="shared" si="28"/>
        <v>31</v>
      </c>
    </row>
    <row r="132" spans="1:12" s="271" customFormat="1">
      <c r="A132" s="271">
        <f t="shared" si="25"/>
        <v>103</v>
      </c>
      <c r="B132" s="272">
        <f t="shared" si="26"/>
        <v>48548</v>
      </c>
      <c r="C132" s="272">
        <f t="shared" si="27"/>
        <v>48579</v>
      </c>
      <c r="D132" s="355"/>
      <c r="E132" s="274">
        <f t="shared" si="23"/>
        <v>141666.66666666666</v>
      </c>
      <c r="F132" s="274">
        <f t="shared" si="29"/>
        <v>5950000.0000000298</v>
      </c>
      <c r="G132" s="273">
        <f t="shared" si="24"/>
        <v>37584.166666666853</v>
      </c>
      <c r="H132" s="273"/>
      <c r="I132" s="275">
        <f t="shared" si="22"/>
        <v>179250.83333333352</v>
      </c>
      <c r="J132" s="271">
        <f t="shared" si="28"/>
        <v>30</v>
      </c>
    </row>
    <row r="133" spans="1:12" s="281" customFormat="1">
      <c r="A133" s="281">
        <f t="shared" si="25"/>
        <v>104</v>
      </c>
      <c r="B133" s="282">
        <f t="shared" si="26"/>
        <v>48579</v>
      </c>
      <c r="C133" s="282">
        <f t="shared" si="27"/>
        <v>48610</v>
      </c>
      <c r="D133" s="354"/>
      <c r="E133" s="283">
        <f t="shared" si="23"/>
        <v>141666.66666666666</v>
      </c>
      <c r="F133" s="283">
        <f t="shared" si="29"/>
        <v>5808333.3333333628</v>
      </c>
      <c r="G133" s="285">
        <f t="shared" si="24"/>
        <v>37912.282407407605</v>
      </c>
      <c r="H133" s="285"/>
      <c r="I133" s="284">
        <f t="shared" si="22"/>
        <v>179578.94907407428</v>
      </c>
      <c r="J133" s="281">
        <f t="shared" si="28"/>
        <v>31</v>
      </c>
      <c r="K133" s="286">
        <f>SUM(E122:E133)</f>
        <v>1700000.0000000002</v>
      </c>
      <c r="L133" s="286">
        <f>SUM(G122:G133)</f>
        <v>507505.56481481728</v>
      </c>
    </row>
    <row r="134" spans="1:12" s="271" customFormat="1">
      <c r="A134" s="271">
        <f t="shared" si="25"/>
        <v>105</v>
      </c>
      <c r="B134" s="272">
        <f t="shared" si="26"/>
        <v>48610</v>
      </c>
      <c r="C134" s="272">
        <f t="shared" si="27"/>
        <v>48638</v>
      </c>
      <c r="D134" s="355"/>
      <c r="E134" s="274">
        <f t="shared" si="23"/>
        <v>141666.66666666666</v>
      </c>
      <c r="F134" s="274">
        <f t="shared" si="29"/>
        <v>5666666.6666666958</v>
      </c>
      <c r="G134" s="273">
        <f t="shared" si="24"/>
        <v>36987.592592592788</v>
      </c>
      <c r="H134" s="273"/>
      <c r="I134" s="275">
        <f t="shared" si="22"/>
        <v>178654.25925925944</v>
      </c>
      <c r="J134" s="271">
        <f t="shared" si="28"/>
        <v>31</v>
      </c>
    </row>
    <row r="135" spans="1:12" s="271" customFormat="1">
      <c r="A135" s="271">
        <f t="shared" si="25"/>
        <v>106</v>
      </c>
      <c r="B135" s="272">
        <f t="shared" si="26"/>
        <v>48638</v>
      </c>
      <c r="C135" s="272">
        <f t="shared" si="27"/>
        <v>48669</v>
      </c>
      <c r="D135" s="355"/>
      <c r="E135" s="274">
        <f t="shared" si="23"/>
        <v>141666.66666666666</v>
      </c>
      <c r="F135" s="274">
        <f t="shared" si="29"/>
        <v>5525000.0000000289</v>
      </c>
      <c r="G135" s="273">
        <f t="shared" si="24"/>
        <v>32572.94444444462</v>
      </c>
      <c r="H135" s="273"/>
      <c r="I135" s="275">
        <f t="shared" si="22"/>
        <v>174239.61111111127</v>
      </c>
      <c r="J135" s="271">
        <f t="shared" si="28"/>
        <v>28</v>
      </c>
    </row>
    <row r="136" spans="1:12" s="271" customFormat="1">
      <c r="A136" s="271">
        <f t="shared" si="25"/>
        <v>107</v>
      </c>
      <c r="B136" s="272">
        <f t="shared" si="26"/>
        <v>48669</v>
      </c>
      <c r="C136" s="272">
        <f t="shared" si="27"/>
        <v>48699</v>
      </c>
      <c r="D136" s="355"/>
      <c r="E136" s="274">
        <f t="shared" si="23"/>
        <v>141666.66666666666</v>
      </c>
      <c r="F136" s="274">
        <f t="shared" si="29"/>
        <v>5383333.3333333619</v>
      </c>
      <c r="G136" s="273">
        <f t="shared" si="24"/>
        <v>35138.212962963153</v>
      </c>
      <c r="H136" s="273"/>
      <c r="I136" s="275">
        <f t="shared" si="22"/>
        <v>176804.87962962981</v>
      </c>
      <c r="J136" s="271">
        <f t="shared" si="28"/>
        <v>31</v>
      </c>
    </row>
    <row r="137" spans="1:12" s="271" customFormat="1">
      <c r="A137" s="271">
        <f t="shared" si="25"/>
        <v>108</v>
      </c>
      <c r="B137" s="272">
        <f t="shared" si="26"/>
        <v>48699</v>
      </c>
      <c r="C137" s="272">
        <f t="shared" si="27"/>
        <v>48730</v>
      </c>
      <c r="D137" s="355"/>
      <c r="E137" s="274">
        <f t="shared" si="23"/>
        <v>141666.66666666666</v>
      </c>
      <c r="F137" s="274">
        <f t="shared" si="29"/>
        <v>5241666.6666666949</v>
      </c>
      <c r="G137" s="273">
        <f t="shared" si="24"/>
        <v>33109.861111111291</v>
      </c>
      <c r="H137" s="273"/>
      <c r="I137" s="275">
        <f t="shared" si="22"/>
        <v>174776.52777777796</v>
      </c>
      <c r="J137" s="271">
        <f t="shared" si="28"/>
        <v>30</v>
      </c>
    </row>
    <row r="138" spans="1:12" s="271" customFormat="1">
      <c r="A138" s="271">
        <f t="shared" si="25"/>
        <v>109</v>
      </c>
      <c r="B138" s="272">
        <f t="shared" si="26"/>
        <v>48730</v>
      </c>
      <c r="C138" s="272">
        <f t="shared" si="27"/>
        <v>48760</v>
      </c>
      <c r="D138" s="355"/>
      <c r="E138" s="274">
        <f t="shared" si="23"/>
        <v>141666.66666666666</v>
      </c>
      <c r="F138" s="274">
        <f t="shared" si="29"/>
        <v>5100000.0000000279</v>
      </c>
      <c r="G138" s="273">
        <f t="shared" si="24"/>
        <v>33288.833333333518</v>
      </c>
      <c r="H138" s="273"/>
      <c r="I138" s="275">
        <f t="shared" si="22"/>
        <v>174955.50000000017</v>
      </c>
      <c r="J138" s="271">
        <f t="shared" si="28"/>
        <v>31</v>
      </c>
    </row>
    <row r="139" spans="1:12" s="271" customFormat="1">
      <c r="A139" s="271">
        <f t="shared" si="25"/>
        <v>110</v>
      </c>
      <c r="B139" s="272">
        <f t="shared" si="26"/>
        <v>48760</v>
      </c>
      <c r="C139" s="272">
        <f t="shared" si="27"/>
        <v>48791</v>
      </c>
      <c r="D139" s="355"/>
      <c r="E139" s="274">
        <f t="shared" si="23"/>
        <v>141666.66666666666</v>
      </c>
      <c r="F139" s="274">
        <f t="shared" si="29"/>
        <v>4958333.333333361</v>
      </c>
      <c r="G139" s="273">
        <f t="shared" si="24"/>
        <v>31320.138888889065</v>
      </c>
      <c r="H139" s="273"/>
      <c r="I139" s="275">
        <f t="shared" si="22"/>
        <v>172986.80555555574</v>
      </c>
      <c r="J139" s="271">
        <f t="shared" si="28"/>
        <v>30</v>
      </c>
    </row>
    <row r="140" spans="1:12" s="271" customFormat="1">
      <c r="A140" s="271">
        <f t="shared" si="25"/>
        <v>111</v>
      </c>
      <c r="B140" s="272">
        <f t="shared" si="26"/>
        <v>48791</v>
      </c>
      <c r="C140" s="272">
        <f t="shared" si="27"/>
        <v>48822</v>
      </c>
      <c r="D140" s="355"/>
      <c r="E140" s="274">
        <f t="shared" si="23"/>
        <v>141666.66666666666</v>
      </c>
      <c r="F140" s="274">
        <f t="shared" si="29"/>
        <v>4816666.666666694</v>
      </c>
      <c r="G140" s="273">
        <f t="shared" si="24"/>
        <v>31439.453703703883</v>
      </c>
      <c r="H140" s="273"/>
      <c r="I140" s="275">
        <f t="shared" si="22"/>
        <v>173106.12037037054</v>
      </c>
      <c r="J140" s="271">
        <f t="shared" si="28"/>
        <v>31</v>
      </c>
    </row>
    <row r="141" spans="1:12" s="271" customFormat="1">
      <c r="A141" s="271">
        <f t="shared" si="25"/>
        <v>112</v>
      </c>
      <c r="B141" s="272">
        <f t="shared" si="26"/>
        <v>48822</v>
      </c>
      <c r="C141" s="272">
        <f t="shared" si="27"/>
        <v>48852</v>
      </c>
      <c r="D141" s="355"/>
      <c r="E141" s="274">
        <f t="shared" si="23"/>
        <v>141666.66666666666</v>
      </c>
      <c r="F141" s="274">
        <f t="shared" si="29"/>
        <v>4675000.000000027</v>
      </c>
      <c r="G141" s="273">
        <f t="shared" si="24"/>
        <v>30514.763888889065</v>
      </c>
      <c r="H141" s="273"/>
      <c r="I141" s="275">
        <f t="shared" si="22"/>
        <v>172181.43055555574</v>
      </c>
      <c r="J141" s="271">
        <f t="shared" si="28"/>
        <v>31</v>
      </c>
    </row>
    <row r="142" spans="1:12" s="271" customFormat="1">
      <c r="A142" s="271">
        <f t="shared" si="25"/>
        <v>113</v>
      </c>
      <c r="B142" s="272">
        <f t="shared" si="26"/>
        <v>48852</v>
      </c>
      <c r="C142" s="272">
        <f t="shared" si="27"/>
        <v>48883</v>
      </c>
      <c r="D142" s="355"/>
      <c r="E142" s="274">
        <f t="shared" si="23"/>
        <v>141666.66666666666</v>
      </c>
      <c r="F142" s="274">
        <f t="shared" si="29"/>
        <v>4533333.33333336</v>
      </c>
      <c r="G142" s="273">
        <f t="shared" si="24"/>
        <v>28635.555555555726</v>
      </c>
      <c r="H142" s="273"/>
      <c r="I142" s="275">
        <f t="shared" si="22"/>
        <v>170302.22222222239</v>
      </c>
      <c r="J142" s="271">
        <f t="shared" si="28"/>
        <v>30</v>
      </c>
    </row>
    <row r="143" spans="1:12" s="271" customFormat="1">
      <c r="A143" s="271">
        <f t="shared" si="25"/>
        <v>114</v>
      </c>
      <c r="B143" s="272">
        <f t="shared" si="26"/>
        <v>48883</v>
      </c>
      <c r="C143" s="272">
        <f t="shared" si="27"/>
        <v>48913</v>
      </c>
      <c r="D143" s="355"/>
      <c r="E143" s="274">
        <f t="shared" si="23"/>
        <v>141666.66666666666</v>
      </c>
      <c r="F143" s="274">
        <f t="shared" si="29"/>
        <v>4391666.6666666931</v>
      </c>
      <c r="G143" s="273">
        <f t="shared" si="24"/>
        <v>28665.38425925943</v>
      </c>
      <c r="H143" s="273"/>
      <c r="I143" s="275">
        <f t="shared" si="22"/>
        <v>170332.05092592607</v>
      </c>
      <c r="J143" s="271">
        <f t="shared" si="28"/>
        <v>31</v>
      </c>
    </row>
    <row r="144" spans="1:12" s="271" customFormat="1">
      <c r="A144" s="271">
        <f t="shared" si="25"/>
        <v>115</v>
      </c>
      <c r="B144" s="272">
        <f t="shared" si="26"/>
        <v>48913</v>
      </c>
      <c r="C144" s="272" t="e">
        <f>#REF!</f>
        <v>#REF!</v>
      </c>
      <c r="D144" s="355"/>
      <c r="E144" s="274">
        <f t="shared" si="23"/>
        <v>141666.66666666666</v>
      </c>
      <c r="F144" s="274">
        <f t="shared" si="29"/>
        <v>4250000.0000000261</v>
      </c>
      <c r="G144" s="273">
        <f t="shared" si="24"/>
        <v>26845.833333333499</v>
      </c>
      <c r="H144" s="273"/>
      <c r="I144" s="275">
        <f t="shared" si="22"/>
        <v>168512.50000000015</v>
      </c>
      <c r="J144" s="271">
        <f t="shared" si="28"/>
        <v>30</v>
      </c>
    </row>
    <row r="145" spans="1:12" s="281" customFormat="1">
      <c r="A145" s="281">
        <f t="shared" si="25"/>
        <v>116</v>
      </c>
      <c r="B145" s="282">
        <f t="shared" si="26"/>
        <v>48944</v>
      </c>
      <c r="C145" s="282" t="e">
        <f>#REF!</f>
        <v>#REF!</v>
      </c>
      <c r="D145" s="354"/>
      <c r="E145" s="283">
        <f t="shared" si="23"/>
        <v>141666.66666666666</v>
      </c>
      <c r="F145" s="283">
        <f t="shared" ref="F145:F156" si="30">F144-E144</f>
        <v>4108333.3333333596</v>
      </c>
      <c r="G145" s="285">
        <f t="shared" ref="G145:G156" si="31">J145*$E$8*F145/360</f>
        <v>26816.004629629802</v>
      </c>
      <c r="H145" s="285"/>
      <c r="I145" s="284">
        <f t="shared" ref="I145:I156" si="32">E145+G145</f>
        <v>168482.67129629647</v>
      </c>
      <c r="J145" s="281">
        <f t="shared" ref="J145:J156" si="33">(B145-B144)</f>
        <v>31</v>
      </c>
      <c r="K145" s="286">
        <f>SUM(E134:E145)</f>
        <v>1700000.0000000002</v>
      </c>
      <c r="L145" s="286">
        <f>SUM(G134:G145)</f>
        <v>375334.5787037058</v>
      </c>
    </row>
    <row r="146" spans="1:12" s="271" customFormat="1">
      <c r="A146" s="271">
        <f t="shared" si="25"/>
        <v>117</v>
      </c>
      <c r="B146" s="272">
        <f t="shared" si="26"/>
        <v>48975</v>
      </c>
      <c r="C146" s="272" t="e">
        <f>#REF!</f>
        <v>#REF!</v>
      </c>
      <c r="D146" s="355"/>
      <c r="E146" s="274">
        <f t="shared" si="23"/>
        <v>141666.66666666666</v>
      </c>
      <c r="F146" s="274">
        <f t="shared" si="30"/>
        <v>3966666.6666666931</v>
      </c>
      <c r="G146" s="273">
        <f t="shared" si="31"/>
        <v>25891.314814814988</v>
      </c>
      <c r="H146" s="273"/>
      <c r="I146" s="275">
        <f t="shared" si="32"/>
        <v>167557.98148148163</v>
      </c>
      <c r="J146" s="271">
        <f t="shared" si="33"/>
        <v>31</v>
      </c>
    </row>
    <row r="147" spans="1:12" s="271" customFormat="1">
      <c r="A147" s="271">
        <f t="shared" si="25"/>
        <v>118</v>
      </c>
      <c r="B147" s="272">
        <f t="shared" si="26"/>
        <v>49003</v>
      </c>
      <c r="C147" s="272" t="e">
        <f>#REF!</f>
        <v>#REF!</v>
      </c>
      <c r="D147" s="355"/>
      <c r="E147" s="274">
        <f t="shared" si="23"/>
        <v>141666.66666666666</v>
      </c>
      <c r="F147" s="274">
        <f t="shared" si="30"/>
        <v>3825000.0000000265</v>
      </c>
      <c r="G147" s="273">
        <f t="shared" si="31"/>
        <v>22550.50000000016</v>
      </c>
      <c r="H147" s="273"/>
      <c r="I147" s="275">
        <f t="shared" si="32"/>
        <v>164217.1666666668</v>
      </c>
      <c r="J147" s="271">
        <f t="shared" si="33"/>
        <v>28</v>
      </c>
    </row>
    <row r="148" spans="1:12" s="271" customFormat="1">
      <c r="A148" s="271">
        <f t="shared" si="25"/>
        <v>119</v>
      </c>
      <c r="B148" s="272">
        <f t="shared" si="26"/>
        <v>49034</v>
      </c>
      <c r="C148" s="272" t="e">
        <f>#REF!</f>
        <v>#REF!</v>
      </c>
      <c r="D148" s="355"/>
      <c r="E148" s="274">
        <f t="shared" si="23"/>
        <v>141666.66666666666</v>
      </c>
      <c r="F148" s="274">
        <f t="shared" si="30"/>
        <v>3683333.33333336</v>
      </c>
      <c r="G148" s="273">
        <f t="shared" si="31"/>
        <v>24041.935185185361</v>
      </c>
      <c r="H148" s="273"/>
      <c r="I148" s="275">
        <f t="shared" si="32"/>
        <v>165708.60185185203</v>
      </c>
      <c r="J148" s="271">
        <f t="shared" si="33"/>
        <v>31</v>
      </c>
    </row>
    <row r="149" spans="1:12" s="271" customFormat="1">
      <c r="A149" s="271">
        <f t="shared" si="25"/>
        <v>120</v>
      </c>
      <c r="B149" s="272">
        <f t="shared" si="26"/>
        <v>49064</v>
      </c>
      <c r="C149" s="272" t="e">
        <f>#REF!</f>
        <v>#REF!</v>
      </c>
      <c r="D149" s="355"/>
      <c r="E149" s="274">
        <f t="shared" ref="E149:E173" si="34">E148</f>
        <v>141666.66666666666</v>
      </c>
      <c r="F149" s="274">
        <f t="shared" si="30"/>
        <v>3541666.6666666935</v>
      </c>
      <c r="G149" s="273">
        <f t="shared" si="31"/>
        <v>22371.527777777948</v>
      </c>
      <c r="H149" s="273"/>
      <c r="I149" s="275">
        <f t="shared" si="32"/>
        <v>164038.19444444461</v>
      </c>
      <c r="J149" s="271">
        <f t="shared" si="33"/>
        <v>30</v>
      </c>
    </row>
    <row r="150" spans="1:12" s="271" customFormat="1">
      <c r="A150" s="271">
        <f t="shared" si="25"/>
        <v>121</v>
      </c>
      <c r="B150" s="272">
        <f t="shared" si="26"/>
        <v>49095</v>
      </c>
      <c r="C150" s="272" t="e">
        <f>#REF!</f>
        <v>#REF!</v>
      </c>
      <c r="D150" s="355"/>
      <c r="E150" s="274">
        <f t="shared" si="34"/>
        <v>141666.66666666666</v>
      </c>
      <c r="F150" s="274">
        <f t="shared" si="30"/>
        <v>3400000.000000027</v>
      </c>
      <c r="G150" s="273">
        <f t="shared" si="31"/>
        <v>22192.555555555733</v>
      </c>
      <c r="H150" s="273"/>
      <c r="I150" s="275">
        <f t="shared" si="32"/>
        <v>163859.22222222239</v>
      </c>
      <c r="J150" s="271">
        <f t="shared" si="33"/>
        <v>31</v>
      </c>
    </row>
    <row r="151" spans="1:12" s="271" customFormat="1">
      <c r="A151" s="271">
        <f t="shared" si="25"/>
        <v>122</v>
      </c>
      <c r="B151" s="272">
        <f t="shared" si="26"/>
        <v>49125</v>
      </c>
      <c r="C151" s="272" t="e">
        <f>#REF!</f>
        <v>#REF!</v>
      </c>
      <c r="D151" s="355"/>
      <c r="E151" s="274">
        <f t="shared" si="34"/>
        <v>141666.66666666666</v>
      </c>
      <c r="F151" s="274">
        <f t="shared" si="30"/>
        <v>3258333.3333333605</v>
      </c>
      <c r="G151" s="273">
        <f t="shared" si="31"/>
        <v>20581.805555555726</v>
      </c>
      <c r="H151" s="273"/>
      <c r="I151" s="275">
        <f t="shared" si="32"/>
        <v>162248.47222222239</v>
      </c>
      <c r="J151" s="271">
        <f t="shared" si="33"/>
        <v>30</v>
      </c>
    </row>
    <row r="152" spans="1:12" s="271" customFormat="1">
      <c r="A152" s="271">
        <f t="shared" si="25"/>
        <v>123</v>
      </c>
      <c r="B152" s="272">
        <f t="shared" si="26"/>
        <v>49156</v>
      </c>
      <c r="C152" s="272" t="e">
        <f>#REF!</f>
        <v>#REF!</v>
      </c>
      <c r="D152" s="355"/>
      <c r="E152" s="274">
        <f t="shared" si="34"/>
        <v>141666.66666666666</v>
      </c>
      <c r="F152" s="274">
        <f t="shared" si="30"/>
        <v>3116666.666666694</v>
      </c>
      <c r="G152" s="273">
        <f t="shared" si="31"/>
        <v>20343.175925926105</v>
      </c>
      <c r="H152" s="273"/>
      <c r="I152" s="275">
        <f t="shared" si="32"/>
        <v>162009.84259259276</v>
      </c>
      <c r="J152" s="271">
        <f t="shared" si="33"/>
        <v>31</v>
      </c>
    </row>
    <row r="153" spans="1:12" s="271" customFormat="1">
      <c r="A153" s="271">
        <f t="shared" si="25"/>
        <v>124</v>
      </c>
      <c r="B153" s="272">
        <f t="shared" si="26"/>
        <v>49187</v>
      </c>
      <c r="C153" s="272" t="e">
        <f>#REF!</f>
        <v>#REF!</v>
      </c>
      <c r="D153" s="355"/>
      <c r="E153" s="274">
        <f t="shared" si="34"/>
        <v>141666.66666666666</v>
      </c>
      <c r="F153" s="274">
        <f t="shared" si="30"/>
        <v>2975000.0000000275</v>
      </c>
      <c r="G153" s="273">
        <f t="shared" si="31"/>
        <v>19418.486111111291</v>
      </c>
      <c r="H153" s="273"/>
      <c r="I153" s="275">
        <f t="shared" si="32"/>
        <v>161085.15277777796</v>
      </c>
      <c r="J153" s="271">
        <f t="shared" si="33"/>
        <v>31</v>
      </c>
    </row>
    <row r="154" spans="1:12" s="271" customFormat="1">
      <c r="A154" s="271">
        <f t="shared" ref="A154:A173" si="35">A153+1</f>
        <v>125</v>
      </c>
      <c r="B154" s="272">
        <f t="shared" si="26"/>
        <v>49217</v>
      </c>
      <c r="C154" s="272" t="e">
        <f>#REF!</f>
        <v>#REF!</v>
      </c>
      <c r="D154" s="355"/>
      <c r="E154" s="274">
        <f t="shared" si="34"/>
        <v>141666.66666666666</v>
      </c>
      <c r="F154" s="274">
        <f t="shared" si="30"/>
        <v>2833333.333333361</v>
      </c>
      <c r="G154" s="273">
        <f t="shared" si="31"/>
        <v>17897.222222222397</v>
      </c>
      <c r="H154" s="273"/>
      <c r="I154" s="275">
        <f t="shared" si="32"/>
        <v>159563.88888888905</v>
      </c>
      <c r="J154" s="271">
        <f t="shared" si="33"/>
        <v>30</v>
      </c>
    </row>
    <row r="155" spans="1:12" s="271" customFormat="1">
      <c r="A155" s="271">
        <f t="shared" si="35"/>
        <v>126</v>
      </c>
      <c r="B155" s="272">
        <f t="shared" ref="B155" si="36">EOMONTH(B154,1)</f>
        <v>49248</v>
      </c>
      <c r="C155" s="272" t="e">
        <f>#REF!</f>
        <v>#REF!</v>
      </c>
      <c r="D155" s="355"/>
      <c r="E155" s="274">
        <f t="shared" si="34"/>
        <v>141666.66666666666</v>
      </c>
      <c r="F155" s="274">
        <f t="shared" si="30"/>
        <v>2691666.6666666945</v>
      </c>
      <c r="G155" s="273">
        <f t="shared" si="31"/>
        <v>17569.106481481664</v>
      </c>
      <c r="H155" s="273"/>
      <c r="I155" s="275">
        <f t="shared" si="32"/>
        <v>159235.77314814832</v>
      </c>
      <c r="J155" s="271">
        <f t="shared" si="33"/>
        <v>31</v>
      </c>
    </row>
    <row r="156" spans="1:12" s="271" customFormat="1">
      <c r="A156" s="271">
        <f t="shared" si="35"/>
        <v>127</v>
      </c>
      <c r="B156" s="272">
        <f t="shared" si="26"/>
        <v>49278</v>
      </c>
      <c r="C156" s="272" t="e">
        <f>#REF!</f>
        <v>#REF!</v>
      </c>
      <c r="D156" s="355"/>
      <c r="E156" s="274">
        <f t="shared" si="34"/>
        <v>141666.66666666666</v>
      </c>
      <c r="F156" s="274">
        <f t="shared" si="30"/>
        <v>2550000.0000000279</v>
      </c>
      <c r="G156" s="273">
        <f t="shared" si="31"/>
        <v>16107.500000000176</v>
      </c>
      <c r="H156" s="273"/>
      <c r="I156" s="275">
        <f t="shared" si="32"/>
        <v>157774.16666666683</v>
      </c>
      <c r="J156" s="271">
        <f t="shared" si="33"/>
        <v>30</v>
      </c>
    </row>
    <row r="157" spans="1:12" s="281" customFormat="1">
      <c r="A157" s="281">
        <f t="shared" si="35"/>
        <v>128</v>
      </c>
      <c r="B157" s="282">
        <f t="shared" ref="B157:B173" si="37">EOMONTH(B156,1)</f>
        <v>49309</v>
      </c>
      <c r="C157" s="282" t="e">
        <f>#REF!</f>
        <v>#REF!</v>
      </c>
      <c r="D157" s="354"/>
      <c r="E157" s="283">
        <f t="shared" si="34"/>
        <v>141666.66666666666</v>
      </c>
      <c r="F157" s="283">
        <f t="shared" ref="F157:F173" si="38">F156-E156</f>
        <v>2408333.3333333614</v>
      </c>
      <c r="G157" s="285">
        <f t="shared" ref="G157:G173" si="39">J157*$E$8*F157/360</f>
        <v>15719.726851852036</v>
      </c>
      <c r="H157" s="285"/>
      <c r="I157" s="284">
        <f t="shared" ref="I157:I173" si="40">E157+G157</f>
        <v>157386.39351851869</v>
      </c>
      <c r="J157" s="281">
        <f t="shared" ref="J157:J173" si="41">(B157-B156)</f>
        <v>31</v>
      </c>
      <c r="K157" s="286">
        <f>SUM(E146:E157)</f>
        <v>1700000.0000000002</v>
      </c>
      <c r="L157" s="286">
        <f>SUM(G146:G157)</f>
        <v>244684.85648148358</v>
      </c>
    </row>
    <row r="158" spans="1:12" s="271" customFormat="1">
      <c r="A158" s="271">
        <f t="shared" si="35"/>
        <v>129</v>
      </c>
      <c r="B158" s="272">
        <f t="shared" si="37"/>
        <v>49340</v>
      </c>
      <c r="C158" s="272" t="e">
        <f>#REF!</f>
        <v>#REF!</v>
      </c>
      <c r="D158" s="355"/>
      <c r="E158" s="274">
        <f t="shared" si="34"/>
        <v>141666.66666666666</v>
      </c>
      <c r="F158" s="274">
        <f t="shared" si="38"/>
        <v>2266666.6666666949</v>
      </c>
      <c r="G158" s="273">
        <f t="shared" si="39"/>
        <v>14795.037037037222</v>
      </c>
      <c r="H158" s="273"/>
      <c r="I158" s="275">
        <f t="shared" si="40"/>
        <v>156461.70370370388</v>
      </c>
      <c r="J158" s="271">
        <f t="shared" si="41"/>
        <v>31</v>
      </c>
    </row>
    <row r="159" spans="1:12" s="271" customFormat="1">
      <c r="A159" s="271">
        <f t="shared" si="35"/>
        <v>130</v>
      </c>
      <c r="B159" s="272">
        <f t="shared" si="37"/>
        <v>49368</v>
      </c>
      <c r="C159" s="272" t="e">
        <f>#REF!</f>
        <v>#REF!</v>
      </c>
      <c r="D159" s="355"/>
      <c r="E159" s="274">
        <f t="shared" si="34"/>
        <v>141666.66666666666</v>
      </c>
      <c r="F159" s="274">
        <f t="shared" si="38"/>
        <v>2125000.0000000284</v>
      </c>
      <c r="G159" s="273">
        <f t="shared" si="39"/>
        <v>12528.055555555724</v>
      </c>
      <c r="H159" s="273"/>
      <c r="I159" s="275">
        <f t="shared" si="40"/>
        <v>154194.72222222239</v>
      </c>
      <c r="J159" s="271">
        <f t="shared" si="41"/>
        <v>28</v>
      </c>
    </row>
    <row r="160" spans="1:12" s="271" customFormat="1">
      <c r="A160" s="271">
        <f t="shared" si="35"/>
        <v>131</v>
      </c>
      <c r="B160" s="272">
        <f t="shared" si="37"/>
        <v>49399</v>
      </c>
      <c r="C160" s="272" t="e">
        <f>#REF!</f>
        <v>#REF!</v>
      </c>
      <c r="D160" s="355"/>
      <c r="E160" s="274">
        <f t="shared" si="34"/>
        <v>141666.66666666666</v>
      </c>
      <c r="F160" s="274">
        <f t="shared" si="38"/>
        <v>1983333.3333333617</v>
      </c>
      <c r="G160" s="273">
        <f t="shared" si="39"/>
        <v>12945.657407407592</v>
      </c>
      <c r="H160" s="273"/>
      <c r="I160" s="275">
        <f t="shared" si="40"/>
        <v>154612.32407407425</v>
      </c>
      <c r="J160" s="271">
        <f t="shared" si="41"/>
        <v>31</v>
      </c>
    </row>
    <row r="161" spans="1:12" s="271" customFormat="1">
      <c r="A161" s="271">
        <f t="shared" si="35"/>
        <v>132</v>
      </c>
      <c r="B161" s="272">
        <f t="shared" si="37"/>
        <v>49429</v>
      </c>
      <c r="C161" s="272" t="e">
        <f>#REF!</f>
        <v>#REF!</v>
      </c>
      <c r="D161" s="355"/>
      <c r="E161" s="274">
        <f t="shared" si="34"/>
        <v>141666.66666666666</v>
      </c>
      <c r="F161" s="274">
        <f t="shared" si="38"/>
        <v>1841666.6666666949</v>
      </c>
      <c r="G161" s="273">
        <f t="shared" si="39"/>
        <v>11633.194444444624</v>
      </c>
      <c r="H161" s="273"/>
      <c r="I161" s="275">
        <f t="shared" si="40"/>
        <v>153299.86111111127</v>
      </c>
      <c r="J161" s="271">
        <f t="shared" si="41"/>
        <v>30</v>
      </c>
    </row>
    <row r="162" spans="1:12" s="271" customFormat="1">
      <c r="A162" s="271">
        <f t="shared" si="35"/>
        <v>133</v>
      </c>
      <c r="B162" s="272">
        <f t="shared" si="37"/>
        <v>49460</v>
      </c>
      <c r="C162" s="272" t="e">
        <f>#REF!</f>
        <v>#REF!</v>
      </c>
      <c r="D162" s="355"/>
      <c r="E162" s="274">
        <f t="shared" si="34"/>
        <v>141666.66666666666</v>
      </c>
      <c r="F162" s="274">
        <f t="shared" si="38"/>
        <v>1700000.0000000282</v>
      </c>
      <c r="G162" s="273">
        <f t="shared" si="39"/>
        <v>11096.277777777963</v>
      </c>
      <c r="H162" s="273"/>
      <c r="I162" s="275">
        <f t="shared" si="40"/>
        <v>152762.94444444461</v>
      </c>
      <c r="J162" s="271">
        <f t="shared" si="41"/>
        <v>31</v>
      </c>
    </row>
    <row r="163" spans="1:12" s="271" customFormat="1">
      <c r="A163" s="271">
        <f t="shared" si="35"/>
        <v>134</v>
      </c>
      <c r="B163" s="272">
        <f t="shared" si="37"/>
        <v>49490</v>
      </c>
      <c r="C163" s="272" t="e">
        <f>#REF!</f>
        <v>#REF!</v>
      </c>
      <c r="D163" s="355"/>
      <c r="E163" s="274">
        <f t="shared" si="34"/>
        <v>141666.66666666666</v>
      </c>
      <c r="F163" s="274">
        <f t="shared" si="38"/>
        <v>1558333.3333333614</v>
      </c>
      <c r="G163" s="273">
        <f t="shared" si="39"/>
        <v>9843.4722222223991</v>
      </c>
      <c r="H163" s="273"/>
      <c r="I163" s="275">
        <f t="shared" si="40"/>
        <v>151510.13888888905</v>
      </c>
      <c r="J163" s="271">
        <f t="shared" si="41"/>
        <v>30</v>
      </c>
    </row>
    <row r="164" spans="1:12" s="271" customFormat="1">
      <c r="A164" s="271">
        <f t="shared" si="35"/>
        <v>135</v>
      </c>
      <c r="B164" s="272">
        <f t="shared" si="37"/>
        <v>49521</v>
      </c>
      <c r="C164" s="272" t="e">
        <f>#REF!</f>
        <v>#REF!</v>
      </c>
      <c r="D164" s="355"/>
      <c r="E164" s="274">
        <f t="shared" si="34"/>
        <v>141666.66666666666</v>
      </c>
      <c r="F164" s="274">
        <f t="shared" si="38"/>
        <v>1416666.6666666947</v>
      </c>
      <c r="G164" s="273">
        <f t="shared" si="39"/>
        <v>9246.8981481483315</v>
      </c>
      <c r="H164" s="273"/>
      <c r="I164" s="275">
        <f t="shared" si="40"/>
        <v>150913.56481481498</v>
      </c>
      <c r="J164" s="271">
        <f t="shared" si="41"/>
        <v>31</v>
      </c>
    </row>
    <row r="165" spans="1:12" s="271" customFormat="1">
      <c r="A165" s="271">
        <f t="shared" si="35"/>
        <v>136</v>
      </c>
      <c r="B165" s="272">
        <f t="shared" si="37"/>
        <v>49552</v>
      </c>
      <c r="C165" s="272" t="e">
        <f>#REF!</f>
        <v>#REF!</v>
      </c>
      <c r="D165" s="355"/>
      <c r="E165" s="274">
        <f t="shared" si="34"/>
        <v>141666.66666666666</v>
      </c>
      <c r="F165" s="274">
        <f t="shared" si="38"/>
        <v>1275000.0000000279</v>
      </c>
      <c r="G165" s="273">
        <f t="shared" si="39"/>
        <v>8322.2083333335158</v>
      </c>
      <c r="H165" s="273"/>
      <c r="I165" s="275">
        <f t="shared" si="40"/>
        <v>149988.87500000017</v>
      </c>
      <c r="J165" s="271">
        <f t="shared" si="41"/>
        <v>31</v>
      </c>
    </row>
    <row r="166" spans="1:12" s="271" customFormat="1">
      <c r="A166" s="271">
        <f t="shared" si="35"/>
        <v>137</v>
      </c>
      <c r="B166" s="272">
        <f t="shared" si="37"/>
        <v>49582</v>
      </c>
      <c r="C166" s="272" t="e">
        <f>#REF!</f>
        <v>#REF!</v>
      </c>
      <c r="D166" s="355"/>
      <c r="E166" s="274">
        <f t="shared" si="34"/>
        <v>141666.66666666666</v>
      </c>
      <c r="F166" s="274">
        <f t="shared" si="38"/>
        <v>1133333.3333333612</v>
      </c>
      <c r="G166" s="273">
        <f t="shared" si="39"/>
        <v>7158.8888888890651</v>
      </c>
      <c r="H166" s="273"/>
      <c r="I166" s="275">
        <f t="shared" si="40"/>
        <v>148825.55555555574</v>
      </c>
      <c r="J166" s="271">
        <f t="shared" si="41"/>
        <v>30</v>
      </c>
    </row>
    <row r="167" spans="1:12" s="271" customFormat="1">
      <c r="A167" s="271">
        <f t="shared" si="35"/>
        <v>138</v>
      </c>
      <c r="B167" s="272">
        <f t="shared" si="37"/>
        <v>49613</v>
      </c>
      <c r="C167" s="272" t="e">
        <f>#REF!</f>
        <v>#REF!</v>
      </c>
      <c r="D167" s="355"/>
      <c r="E167" s="274">
        <f t="shared" si="34"/>
        <v>141666.66666666666</v>
      </c>
      <c r="F167" s="274">
        <f t="shared" si="38"/>
        <v>991666.66666669457</v>
      </c>
      <c r="G167" s="273">
        <f t="shared" si="39"/>
        <v>6472.8287037038863</v>
      </c>
      <c r="H167" s="273"/>
      <c r="I167" s="275">
        <f t="shared" si="40"/>
        <v>148139.49537037054</v>
      </c>
      <c r="J167" s="271">
        <f t="shared" si="41"/>
        <v>31</v>
      </c>
    </row>
    <row r="168" spans="1:12" s="271" customFormat="1">
      <c r="A168" s="271">
        <f t="shared" si="35"/>
        <v>139</v>
      </c>
      <c r="B168" s="272">
        <f t="shared" si="37"/>
        <v>49643</v>
      </c>
      <c r="C168" s="272" t="e">
        <f>#REF!</f>
        <v>#REF!</v>
      </c>
      <c r="D168" s="355"/>
      <c r="E168" s="274">
        <f t="shared" si="34"/>
        <v>141666.66666666666</v>
      </c>
      <c r="F168" s="274">
        <f t="shared" si="38"/>
        <v>850000.00000002794</v>
      </c>
      <c r="G168" s="273">
        <f t="shared" si="39"/>
        <v>5369.1666666668434</v>
      </c>
      <c r="H168" s="273"/>
      <c r="I168" s="275">
        <f t="shared" si="40"/>
        <v>147035.83333333349</v>
      </c>
      <c r="J168" s="271">
        <f t="shared" si="41"/>
        <v>30</v>
      </c>
    </row>
    <row r="169" spans="1:12" s="281" customFormat="1">
      <c r="A169" s="281">
        <f t="shared" si="35"/>
        <v>140</v>
      </c>
      <c r="B169" s="282">
        <f t="shared" si="37"/>
        <v>49674</v>
      </c>
      <c r="C169" s="282" t="e">
        <f>#REF!</f>
        <v>#REF!</v>
      </c>
      <c r="D169" s="354"/>
      <c r="E169" s="283">
        <f t="shared" si="34"/>
        <v>141666.66666666666</v>
      </c>
      <c r="F169" s="283">
        <f t="shared" si="38"/>
        <v>708333.33333336131</v>
      </c>
      <c r="G169" s="285">
        <f t="shared" si="39"/>
        <v>4623.4490740742567</v>
      </c>
      <c r="H169" s="285"/>
      <c r="I169" s="284">
        <f t="shared" si="40"/>
        <v>146290.1157407409</v>
      </c>
      <c r="J169" s="281">
        <f t="shared" si="41"/>
        <v>31</v>
      </c>
      <c r="K169" s="286">
        <f>SUM(E158:E169)</f>
        <v>1700000.0000000002</v>
      </c>
      <c r="L169" s="286">
        <f>SUM(G158:G169)</f>
        <v>114035.13425926144</v>
      </c>
    </row>
    <row r="170" spans="1:12" s="271" customFormat="1">
      <c r="A170" s="271">
        <f t="shared" si="35"/>
        <v>141</v>
      </c>
      <c r="B170" s="272">
        <f t="shared" si="37"/>
        <v>49705</v>
      </c>
      <c r="C170" s="272" t="e">
        <f>#REF!</f>
        <v>#REF!</v>
      </c>
      <c r="D170" s="355"/>
      <c r="E170" s="274">
        <f t="shared" si="34"/>
        <v>141666.66666666666</v>
      </c>
      <c r="F170" s="274">
        <f t="shared" si="38"/>
        <v>566666.66666669468</v>
      </c>
      <c r="G170" s="273">
        <f t="shared" si="39"/>
        <v>3698.7592592594419</v>
      </c>
      <c r="H170" s="273"/>
      <c r="I170" s="275">
        <f t="shared" si="40"/>
        <v>145365.4259259261</v>
      </c>
      <c r="J170" s="271">
        <f t="shared" si="41"/>
        <v>31</v>
      </c>
    </row>
    <row r="171" spans="1:12" s="271" customFormat="1">
      <c r="A171" s="271">
        <f t="shared" si="35"/>
        <v>142</v>
      </c>
      <c r="B171" s="272">
        <f t="shared" si="37"/>
        <v>49734</v>
      </c>
      <c r="C171" s="272" t="e">
        <f>#REF!</f>
        <v>#REF!</v>
      </c>
      <c r="D171" s="355"/>
      <c r="E171" s="274">
        <f t="shared" si="34"/>
        <v>141666.66666666666</v>
      </c>
      <c r="F171" s="274">
        <f t="shared" si="38"/>
        <v>425000.00000002806</v>
      </c>
      <c r="G171" s="273">
        <f t="shared" si="39"/>
        <v>2595.0972222223941</v>
      </c>
      <c r="H171" s="273"/>
      <c r="I171" s="275">
        <f t="shared" si="40"/>
        <v>144261.76388888905</v>
      </c>
      <c r="J171" s="271">
        <f t="shared" si="41"/>
        <v>29</v>
      </c>
    </row>
    <row r="172" spans="1:12" s="271" customFormat="1">
      <c r="A172" s="271">
        <f t="shared" si="35"/>
        <v>143</v>
      </c>
      <c r="B172" s="272">
        <f t="shared" si="37"/>
        <v>49765</v>
      </c>
      <c r="C172" s="272" t="e">
        <f>#REF!</f>
        <v>#REF!</v>
      </c>
      <c r="D172" s="355"/>
      <c r="E172" s="274">
        <f t="shared" si="34"/>
        <v>141666.66666666666</v>
      </c>
      <c r="F172" s="274">
        <f t="shared" si="38"/>
        <v>283333.33333336143</v>
      </c>
      <c r="G172" s="273">
        <f t="shared" si="39"/>
        <v>1849.3796296298133</v>
      </c>
      <c r="H172" s="273"/>
      <c r="I172" s="275">
        <f t="shared" si="40"/>
        <v>143516.04629629647</v>
      </c>
      <c r="J172" s="271">
        <f t="shared" si="41"/>
        <v>31</v>
      </c>
    </row>
    <row r="173" spans="1:12" s="281" customFormat="1">
      <c r="A173" s="281">
        <f t="shared" si="35"/>
        <v>144</v>
      </c>
      <c r="B173" s="282">
        <f t="shared" si="37"/>
        <v>49795</v>
      </c>
      <c r="C173" s="282" t="e">
        <f>#REF!</f>
        <v>#REF!</v>
      </c>
      <c r="D173" s="354"/>
      <c r="E173" s="283">
        <f t="shared" si="34"/>
        <v>141666.66666666666</v>
      </c>
      <c r="F173" s="283">
        <f t="shared" si="38"/>
        <v>141666.66666669477</v>
      </c>
      <c r="G173" s="285">
        <f t="shared" si="39"/>
        <v>894.86111111128866</v>
      </c>
      <c r="H173" s="285"/>
      <c r="I173" s="284">
        <f t="shared" si="40"/>
        <v>142561.52777777796</v>
      </c>
      <c r="J173" s="281">
        <f t="shared" si="41"/>
        <v>30</v>
      </c>
      <c r="K173" s="286">
        <f>SUM(E170:E173)</f>
        <v>566666.66666666663</v>
      </c>
      <c r="L173" s="286">
        <f>SUM(G170:G173)</f>
        <v>9038.0972222229393</v>
      </c>
    </row>
    <row r="174" spans="1:12" s="271" customFormat="1">
      <c r="B174" s="276" t="s">
        <v>40</v>
      </c>
      <c r="C174" s="276"/>
      <c r="D174" s="356">
        <f>SUM(D18:D144)</f>
        <v>17000000</v>
      </c>
      <c r="E174" s="277">
        <f>SUM(E14:E173)</f>
        <v>16999999.999999974</v>
      </c>
      <c r="F174" s="277"/>
      <c r="G174" s="277">
        <f>SUM(G21:G173)</f>
        <v>7767245.3009259449</v>
      </c>
      <c r="H174" s="277"/>
      <c r="I174" s="277">
        <f>SUM(I25:I144)</f>
        <v>20298337.875000015</v>
      </c>
      <c r="K174" s="280"/>
      <c r="L174" s="280"/>
    </row>
    <row r="175" spans="1:12" s="271" customFormat="1">
      <c r="B175" s="278" t="s">
        <v>190</v>
      </c>
      <c r="C175" s="279"/>
      <c r="D175" s="279"/>
      <c r="E175" s="280"/>
      <c r="F175" s="280"/>
      <c r="G175" s="261"/>
      <c r="H175" s="261"/>
      <c r="I175" s="280"/>
    </row>
    <row r="176" spans="1:12" s="271" customFormat="1">
      <c r="B176" s="278" t="s">
        <v>191</v>
      </c>
      <c r="C176" s="279"/>
      <c r="D176" s="279"/>
      <c r="E176" s="280"/>
      <c r="F176" s="280"/>
      <c r="G176" s="261"/>
      <c r="H176" s="261"/>
      <c r="I176" s="280"/>
    </row>
    <row r="177" spans="2:12" s="271" customFormat="1">
      <c r="B177" s="279"/>
      <c r="C177" s="279"/>
      <c r="D177" s="279"/>
      <c r="E177" s="280"/>
      <c r="F177" s="280"/>
      <c r="G177" s="261"/>
      <c r="H177" s="261"/>
      <c r="I177" s="280"/>
      <c r="K177" s="280">
        <f>SUM(K37:K173)</f>
        <v>17000000</v>
      </c>
      <c r="L177" s="280">
        <f>SUM(L37:L173)</f>
        <v>7767245.300925944</v>
      </c>
    </row>
    <row r="178" spans="2:12" s="271" customFormat="1">
      <c r="B178" s="279"/>
      <c r="C178" s="279"/>
      <c r="D178" s="279"/>
      <c r="E178" s="280"/>
      <c r="F178" s="280"/>
      <c r="G178" s="261"/>
      <c r="H178" s="261">
        <f>12*12</f>
        <v>144</v>
      </c>
      <c r="I178" s="280"/>
      <c r="L178" s="280">
        <f>L177+E9</f>
        <v>7801245.300925944</v>
      </c>
    </row>
    <row r="179" spans="2:12" s="271" customFormat="1">
      <c r="B179" s="279"/>
      <c r="C179" s="279"/>
      <c r="D179" s="279"/>
      <c r="E179" s="280"/>
      <c r="F179" s="280"/>
      <c r="G179" s="261"/>
      <c r="H179" s="261"/>
      <c r="I179" s="280"/>
    </row>
    <row r="180" spans="2:12" s="271" customFormat="1">
      <c r="B180" s="279"/>
      <c r="C180" s="279"/>
      <c r="D180" s="279"/>
      <c r="E180" s="280"/>
      <c r="F180" s="280"/>
      <c r="G180" s="261"/>
      <c r="H180" s="261"/>
      <c r="I180" s="280"/>
    </row>
    <row r="181" spans="2:12" s="271" customFormat="1">
      <c r="B181" s="279"/>
      <c r="C181" s="279"/>
      <c r="D181" s="279"/>
      <c r="E181" s="280"/>
      <c r="F181" s="280"/>
      <c r="G181" s="261"/>
      <c r="H181" s="261"/>
      <c r="I181" s="280"/>
    </row>
    <row r="182" spans="2:12" s="271" customFormat="1">
      <c r="B182" s="279"/>
      <c r="C182" s="279"/>
      <c r="D182" s="279"/>
      <c r="E182" s="280"/>
      <c r="F182" s="280"/>
      <c r="G182" s="261"/>
      <c r="H182" s="261"/>
      <c r="I182" s="280"/>
    </row>
    <row r="183" spans="2:12" s="271" customFormat="1">
      <c r="B183" s="279"/>
      <c r="C183" s="279"/>
      <c r="D183" s="279"/>
      <c r="E183" s="280"/>
      <c r="F183" s="280"/>
      <c r="G183" s="261"/>
      <c r="H183" s="261"/>
      <c r="I183" s="280"/>
    </row>
    <row r="184" spans="2:12" s="271" customFormat="1">
      <c r="B184" s="279"/>
      <c r="C184" s="279"/>
      <c r="D184" s="279"/>
      <c r="E184" s="280"/>
      <c r="F184" s="280"/>
      <c r="G184" s="261"/>
      <c r="H184" s="261"/>
      <c r="I184" s="280"/>
    </row>
    <row r="185" spans="2:12" s="271" customFormat="1">
      <c r="B185" s="279"/>
      <c r="C185" s="279"/>
      <c r="D185" s="279"/>
      <c r="E185" s="280"/>
      <c r="F185" s="280"/>
      <c r="G185" s="261"/>
      <c r="H185" s="261"/>
      <c r="I185" s="280"/>
    </row>
    <row r="186" spans="2:12" s="271" customFormat="1">
      <c r="B186" s="279"/>
      <c r="C186" s="279"/>
      <c r="D186" s="279"/>
      <c r="E186" s="280"/>
      <c r="F186" s="280"/>
      <c r="G186" s="261"/>
      <c r="H186" s="261"/>
      <c r="I186" s="280"/>
    </row>
    <row r="187" spans="2:12" s="271" customFormat="1">
      <c r="B187" s="279"/>
      <c r="C187" s="279"/>
      <c r="D187" s="279"/>
      <c r="E187" s="280"/>
      <c r="F187" s="280"/>
      <c r="G187" s="261"/>
      <c r="H187" s="261"/>
      <c r="I187" s="280"/>
    </row>
    <row r="188" spans="2:12" s="271" customFormat="1">
      <c r="B188" s="279"/>
      <c r="C188" s="279"/>
      <c r="D188" s="279"/>
      <c r="E188" s="280"/>
      <c r="F188" s="280"/>
      <c r="G188" s="261"/>
      <c r="H188" s="261"/>
      <c r="I188" s="280"/>
    </row>
    <row r="189" spans="2:12" s="271" customFormat="1">
      <c r="B189" s="279"/>
      <c r="C189" s="279"/>
      <c r="D189" s="279"/>
      <c r="E189" s="280"/>
      <c r="F189" s="280"/>
      <c r="G189" s="261"/>
      <c r="H189" s="261"/>
      <c r="I189" s="280"/>
    </row>
    <row r="190" spans="2:12" s="271" customFormat="1">
      <c r="B190" s="279"/>
      <c r="C190" s="279"/>
      <c r="D190" s="279"/>
      <c r="E190" s="280"/>
      <c r="F190" s="280"/>
      <c r="G190" s="261"/>
      <c r="H190" s="261"/>
      <c r="I190" s="280"/>
    </row>
    <row r="191" spans="2:12" s="271" customFormat="1">
      <c r="B191" s="279"/>
      <c r="C191" s="279"/>
      <c r="D191" s="279"/>
      <c r="E191" s="280"/>
      <c r="F191" s="280"/>
      <c r="G191" s="261"/>
      <c r="H191" s="261"/>
      <c r="I191" s="280"/>
    </row>
    <row r="192" spans="2:12" s="271" customFormat="1">
      <c r="B192" s="279"/>
      <c r="C192" s="279"/>
      <c r="D192" s="279"/>
      <c r="E192" s="280"/>
      <c r="F192" s="280"/>
      <c r="G192" s="261"/>
      <c r="H192" s="261"/>
      <c r="I192" s="280"/>
    </row>
    <row r="193" spans="2:9" s="271" customFormat="1">
      <c r="B193" s="279"/>
      <c r="C193" s="279"/>
      <c r="D193" s="279"/>
      <c r="E193" s="280"/>
      <c r="F193" s="280"/>
      <c r="G193" s="261"/>
      <c r="H193" s="261"/>
      <c r="I193" s="280"/>
    </row>
    <row r="194" spans="2:9" s="271" customFormat="1">
      <c r="B194" s="279"/>
      <c r="C194" s="279"/>
      <c r="D194" s="279"/>
      <c r="E194" s="280"/>
      <c r="F194" s="280"/>
      <c r="G194" s="261"/>
      <c r="H194" s="261"/>
      <c r="I194" s="280"/>
    </row>
    <row r="195" spans="2:9" s="271" customFormat="1">
      <c r="B195" s="279"/>
      <c r="C195" s="279"/>
      <c r="D195" s="279"/>
      <c r="E195" s="280"/>
      <c r="F195" s="280"/>
      <c r="G195" s="261"/>
      <c r="H195" s="261"/>
      <c r="I195" s="280"/>
    </row>
    <row r="196" spans="2:9" s="271" customFormat="1">
      <c r="B196" s="279"/>
      <c r="C196" s="279"/>
      <c r="D196" s="279"/>
      <c r="E196" s="280"/>
      <c r="F196" s="280"/>
      <c r="G196" s="261"/>
      <c r="H196" s="261"/>
      <c r="I196" s="280"/>
    </row>
    <row r="197" spans="2:9" s="271" customFormat="1">
      <c r="B197" s="279"/>
      <c r="C197" s="279"/>
      <c r="D197" s="279"/>
      <c r="E197" s="280"/>
      <c r="F197" s="280"/>
      <c r="G197" s="261"/>
      <c r="H197" s="261"/>
      <c r="I197" s="280"/>
    </row>
    <row r="198" spans="2:9" s="271" customFormat="1">
      <c r="B198" s="279"/>
      <c r="C198" s="279"/>
      <c r="D198" s="279"/>
      <c r="E198" s="280"/>
      <c r="F198" s="280"/>
      <c r="G198" s="261"/>
      <c r="H198" s="261"/>
      <c r="I198" s="280"/>
    </row>
    <row r="199" spans="2:9" s="271" customFormat="1">
      <c r="B199" s="279"/>
      <c r="C199" s="279"/>
      <c r="D199" s="279"/>
      <c r="E199" s="280"/>
      <c r="F199" s="280"/>
      <c r="G199" s="261"/>
      <c r="H199" s="261"/>
      <c r="I199" s="280"/>
    </row>
    <row r="200" spans="2:9" s="271" customFormat="1">
      <c r="B200" s="279"/>
      <c r="C200" s="279"/>
      <c r="D200" s="279"/>
      <c r="E200" s="280"/>
      <c r="F200" s="280"/>
      <c r="G200" s="261"/>
      <c r="H200" s="261"/>
      <c r="I200" s="280"/>
    </row>
    <row r="201" spans="2:9" s="271" customFormat="1">
      <c r="B201" s="279"/>
      <c r="C201" s="279"/>
      <c r="D201" s="279"/>
      <c r="E201" s="280"/>
      <c r="F201" s="280"/>
      <c r="G201" s="261"/>
      <c r="H201" s="261"/>
      <c r="I201" s="280"/>
    </row>
    <row r="202" spans="2:9" s="271" customFormat="1">
      <c r="B202" s="279"/>
      <c r="C202" s="279"/>
      <c r="D202" s="279"/>
      <c r="E202" s="280"/>
      <c r="F202" s="280"/>
      <c r="G202" s="261"/>
      <c r="H202" s="261"/>
      <c r="I202" s="280"/>
    </row>
    <row r="203" spans="2:9" s="271" customFormat="1">
      <c r="B203" s="279"/>
      <c r="C203" s="279"/>
      <c r="D203" s="279"/>
      <c r="E203" s="280"/>
      <c r="F203" s="280"/>
      <c r="G203" s="261"/>
      <c r="H203" s="261"/>
      <c r="I203" s="280"/>
    </row>
    <row r="204" spans="2:9" s="271" customFormat="1">
      <c r="B204" s="279"/>
      <c r="C204" s="279"/>
      <c r="D204" s="279"/>
      <c r="E204" s="280"/>
      <c r="F204" s="280"/>
      <c r="G204" s="261"/>
      <c r="H204" s="261"/>
      <c r="I204" s="280"/>
    </row>
    <row r="205" spans="2:9" s="271" customFormat="1">
      <c r="B205" s="279"/>
      <c r="C205" s="279"/>
      <c r="D205" s="279"/>
      <c r="E205" s="280"/>
      <c r="F205" s="280"/>
      <c r="G205" s="261"/>
      <c r="H205" s="261"/>
      <c r="I205" s="280"/>
    </row>
    <row r="206" spans="2:9" s="271" customFormat="1">
      <c r="B206" s="279"/>
      <c r="C206" s="279"/>
      <c r="D206" s="279"/>
      <c r="E206" s="280"/>
      <c r="F206" s="280"/>
      <c r="G206" s="261"/>
      <c r="H206" s="261"/>
      <c r="I206" s="280"/>
    </row>
    <row r="207" spans="2:9" s="271" customFormat="1">
      <c r="B207" s="279"/>
      <c r="C207" s="279"/>
      <c r="D207" s="279"/>
      <c r="E207" s="280"/>
      <c r="F207" s="280"/>
      <c r="G207" s="261"/>
      <c r="H207" s="261"/>
      <c r="I207" s="280"/>
    </row>
    <row r="208" spans="2:9" s="271" customFormat="1">
      <c r="B208" s="279"/>
      <c r="C208" s="279"/>
      <c r="D208" s="279"/>
      <c r="E208" s="280"/>
      <c r="F208" s="280"/>
      <c r="G208" s="261"/>
      <c r="H208" s="261"/>
      <c r="I208" s="280"/>
    </row>
    <row r="209" spans="2:9" s="271" customFormat="1">
      <c r="B209" s="279"/>
      <c r="C209" s="279"/>
      <c r="D209" s="279"/>
      <c r="E209" s="280"/>
      <c r="F209" s="280"/>
      <c r="G209" s="261"/>
      <c r="H209" s="261"/>
      <c r="I209" s="280"/>
    </row>
    <row r="210" spans="2:9" s="271" customFormat="1">
      <c r="B210" s="279"/>
      <c r="C210" s="279"/>
      <c r="D210" s="279"/>
      <c r="E210" s="280"/>
      <c r="F210" s="280"/>
      <c r="G210" s="261"/>
      <c r="H210" s="261"/>
      <c r="I210" s="280"/>
    </row>
    <row r="211" spans="2:9" s="271" customFormat="1">
      <c r="B211" s="279"/>
      <c r="C211" s="279"/>
      <c r="D211" s="279"/>
      <c r="E211" s="280"/>
      <c r="F211" s="280"/>
      <c r="G211" s="261"/>
      <c r="H211" s="261"/>
      <c r="I211" s="280"/>
    </row>
    <row r="212" spans="2:9" s="271" customFormat="1">
      <c r="B212" s="279"/>
      <c r="C212" s="279"/>
      <c r="D212" s="279"/>
      <c r="E212" s="280"/>
      <c r="F212" s="280"/>
      <c r="G212" s="261"/>
      <c r="H212" s="261"/>
      <c r="I212" s="280"/>
    </row>
    <row r="213" spans="2:9" s="271" customFormat="1">
      <c r="B213" s="279"/>
      <c r="C213" s="279"/>
      <c r="D213" s="279"/>
      <c r="E213" s="280"/>
      <c r="F213" s="280"/>
      <c r="G213" s="261"/>
      <c r="H213" s="261"/>
      <c r="I213" s="280"/>
    </row>
    <row r="214" spans="2:9" s="271" customFormat="1">
      <c r="B214" s="279"/>
      <c r="C214" s="279"/>
      <c r="D214" s="279"/>
      <c r="E214" s="280"/>
      <c r="F214" s="280"/>
      <c r="G214" s="261"/>
      <c r="H214" s="261"/>
      <c r="I214" s="280"/>
    </row>
    <row r="215" spans="2:9" s="271" customFormat="1">
      <c r="B215" s="279"/>
      <c r="C215" s="279"/>
      <c r="D215" s="279"/>
      <c r="E215" s="280"/>
      <c r="F215" s="280"/>
      <c r="G215" s="261"/>
      <c r="H215" s="261"/>
      <c r="I215" s="280"/>
    </row>
    <row r="216" spans="2:9" s="271" customFormat="1">
      <c r="B216" s="279"/>
      <c r="C216" s="279"/>
      <c r="D216" s="279"/>
      <c r="E216" s="280"/>
      <c r="F216" s="280"/>
      <c r="G216" s="261"/>
      <c r="H216" s="261"/>
      <c r="I216" s="280"/>
    </row>
    <row r="217" spans="2:9" s="271" customFormat="1">
      <c r="B217" s="279"/>
      <c r="C217" s="279"/>
      <c r="D217" s="279"/>
      <c r="E217" s="280"/>
      <c r="F217" s="280"/>
      <c r="G217" s="261"/>
      <c r="H217" s="261"/>
      <c r="I217" s="280"/>
    </row>
    <row r="218" spans="2:9" s="271" customFormat="1">
      <c r="B218" s="279"/>
      <c r="C218" s="279"/>
      <c r="D218" s="279"/>
      <c r="E218" s="280"/>
      <c r="F218" s="280"/>
      <c r="G218" s="261"/>
      <c r="H218" s="261"/>
      <c r="I218" s="280"/>
    </row>
    <row r="219" spans="2:9" s="271" customFormat="1">
      <c r="B219" s="279"/>
      <c r="C219" s="279"/>
      <c r="D219" s="279"/>
      <c r="E219" s="280"/>
      <c r="F219" s="280"/>
      <c r="G219" s="261"/>
      <c r="H219" s="261"/>
      <c r="I219" s="280"/>
    </row>
    <row r="220" spans="2:9" s="271" customFormat="1">
      <c r="B220" s="279"/>
      <c r="C220" s="279"/>
      <c r="D220" s="279"/>
      <c r="E220" s="280"/>
      <c r="F220" s="280"/>
      <c r="G220" s="261"/>
      <c r="H220" s="261"/>
      <c r="I220" s="280"/>
    </row>
    <row r="221" spans="2:9" s="271" customFormat="1">
      <c r="B221" s="279"/>
      <c r="C221" s="279"/>
      <c r="D221" s="279"/>
      <c r="E221" s="280"/>
      <c r="F221" s="280"/>
      <c r="G221" s="261"/>
      <c r="H221" s="261"/>
      <c r="I221" s="280"/>
    </row>
    <row r="222" spans="2:9" s="271" customFormat="1">
      <c r="B222" s="279"/>
      <c r="C222" s="279"/>
      <c r="D222" s="279"/>
      <c r="E222" s="280"/>
      <c r="F222" s="280"/>
      <c r="G222" s="261"/>
      <c r="H222" s="261"/>
      <c r="I222" s="280"/>
    </row>
    <row r="223" spans="2:9" s="271" customFormat="1">
      <c r="B223" s="279"/>
      <c r="C223" s="279"/>
      <c r="D223" s="279"/>
      <c r="E223" s="280"/>
      <c r="F223" s="280"/>
      <c r="G223" s="261"/>
      <c r="H223" s="261"/>
      <c r="I223" s="280"/>
    </row>
    <row r="224" spans="2:9" s="271" customFormat="1">
      <c r="B224" s="279"/>
      <c r="C224" s="279"/>
      <c r="D224" s="279"/>
      <c r="E224" s="280"/>
      <c r="F224" s="280"/>
      <c r="G224" s="261"/>
      <c r="H224" s="261"/>
      <c r="I224" s="280"/>
    </row>
    <row r="225" spans="2:9" s="271" customFormat="1">
      <c r="B225" s="279"/>
      <c r="C225" s="279"/>
      <c r="D225" s="279"/>
      <c r="E225" s="280"/>
      <c r="F225" s="280"/>
      <c r="G225" s="261"/>
      <c r="H225" s="261"/>
      <c r="I225" s="280"/>
    </row>
    <row r="226" spans="2:9" s="271" customFormat="1">
      <c r="B226" s="279"/>
      <c r="C226" s="279"/>
      <c r="D226" s="279"/>
      <c r="E226" s="280"/>
      <c r="F226" s="280"/>
      <c r="G226" s="261"/>
      <c r="H226" s="261"/>
      <c r="I226" s="280"/>
    </row>
    <row r="227" spans="2:9" s="271" customFormat="1">
      <c r="B227" s="279"/>
      <c r="C227" s="279"/>
      <c r="D227" s="279"/>
      <c r="E227" s="280"/>
      <c r="F227" s="280"/>
      <c r="G227" s="261"/>
      <c r="H227" s="261"/>
      <c r="I227" s="280"/>
    </row>
    <row r="228" spans="2:9" s="271" customFormat="1">
      <c r="B228" s="279"/>
      <c r="C228" s="279"/>
      <c r="D228" s="279"/>
      <c r="E228" s="280"/>
      <c r="F228" s="280"/>
      <c r="G228" s="261"/>
      <c r="H228" s="261"/>
      <c r="I228" s="280"/>
    </row>
    <row r="229" spans="2:9" s="271" customFormat="1">
      <c r="B229" s="279"/>
      <c r="C229" s="279"/>
      <c r="D229" s="279"/>
      <c r="E229" s="280"/>
      <c r="F229" s="280"/>
      <c r="G229" s="261"/>
      <c r="H229" s="261"/>
      <c r="I229" s="280"/>
    </row>
    <row r="230" spans="2:9" s="271" customFormat="1">
      <c r="B230" s="279"/>
      <c r="C230" s="279"/>
      <c r="D230" s="279"/>
      <c r="E230" s="280"/>
      <c r="F230" s="280"/>
      <c r="G230" s="261"/>
      <c r="H230" s="261"/>
      <c r="I230" s="280"/>
    </row>
    <row r="231" spans="2:9" s="271" customFormat="1">
      <c r="B231" s="279"/>
      <c r="C231" s="279"/>
      <c r="D231" s="279"/>
      <c r="E231" s="280"/>
      <c r="F231" s="280"/>
      <c r="G231" s="261"/>
      <c r="H231" s="261"/>
      <c r="I231" s="280"/>
    </row>
    <row r="232" spans="2:9" s="271" customFormat="1">
      <c r="B232" s="279"/>
      <c r="C232" s="279"/>
      <c r="D232" s="279"/>
      <c r="E232" s="280"/>
      <c r="F232" s="280"/>
      <c r="G232" s="261"/>
      <c r="H232" s="261"/>
      <c r="I232" s="280"/>
    </row>
    <row r="233" spans="2:9" s="271" customFormat="1">
      <c r="B233" s="279"/>
      <c r="C233" s="279"/>
      <c r="D233" s="279"/>
      <c r="E233" s="280"/>
      <c r="F233" s="280"/>
      <c r="G233" s="261"/>
      <c r="H233" s="261"/>
      <c r="I233" s="280"/>
    </row>
    <row r="234" spans="2:9" s="271" customFormat="1">
      <c r="B234" s="279"/>
      <c r="C234" s="279"/>
      <c r="D234" s="279"/>
      <c r="E234" s="280"/>
      <c r="F234" s="280"/>
      <c r="G234" s="261"/>
      <c r="H234" s="261"/>
      <c r="I234" s="280"/>
    </row>
    <row r="235" spans="2:9" s="271" customFormat="1">
      <c r="B235" s="279"/>
      <c r="C235" s="279"/>
      <c r="D235" s="279"/>
      <c r="E235" s="280"/>
      <c r="F235" s="280"/>
      <c r="G235" s="261"/>
      <c r="H235" s="261"/>
      <c r="I235" s="280"/>
    </row>
    <row r="236" spans="2:9" s="271" customFormat="1">
      <c r="B236" s="279"/>
      <c r="C236" s="279"/>
      <c r="D236" s="279"/>
      <c r="E236" s="280"/>
      <c r="F236" s="280"/>
      <c r="G236" s="261"/>
      <c r="H236" s="261"/>
      <c r="I236" s="280"/>
    </row>
    <row r="237" spans="2:9" s="271" customFormat="1">
      <c r="B237" s="279"/>
      <c r="C237" s="279"/>
      <c r="D237" s="279"/>
      <c r="E237" s="280"/>
      <c r="F237" s="280"/>
      <c r="G237" s="261"/>
      <c r="H237" s="261"/>
      <c r="I237" s="280"/>
    </row>
    <row r="238" spans="2:9" s="271" customFormat="1">
      <c r="B238" s="279"/>
      <c r="C238" s="279"/>
      <c r="D238" s="279"/>
      <c r="E238" s="280"/>
      <c r="F238" s="280"/>
      <c r="G238" s="261"/>
      <c r="H238" s="261"/>
      <c r="I238" s="280"/>
    </row>
    <row r="239" spans="2:9" s="271" customFormat="1">
      <c r="B239" s="279"/>
      <c r="C239" s="279"/>
      <c r="D239" s="279"/>
      <c r="E239" s="280"/>
      <c r="F239" s="280"/>
      <c r="G239" s="261"/>
      <c r="H239" s="261"/>
      <c r="I239" s="280"/>
    </row>
    <row r="240" spans="2:9" s="271" customFormat="1">
      <c r="B240" s="279"/>
      <c r="C240" s="279"/>
      <c r="D240" s="279"/>
      <c r="E240" s="280"/>
      <c r="F240" s="280"/>
      <c r="G240" s="261"/>
      <c r="H240" s="261"/>
      <c r="I240" s="280"/>
    </row>
    <row r="241" spans="2:9" s="271" customFormat="1">
      <c r="B241" s="279"/>
      <c r="C241" s="279"/>
      <c r="D241" s="279"/>
      <c r="E241" s="280"/>
      <c r="F241" s="280"/>
      <c r="G241" s="261"/>
      <c r="H241" s="261"/>
      <c r="I241" s="280"/>
    </row>
    <row r="242" spans="2:9" s="271" customFormat="1">
      <c r="B242" s="279"/>
      <c r="C242" s="279"/>
      <c r="D242" s="279"/>
      <c r="E242" s="280"/>
      <c r="F242" s="280"/>
      <c r="G242" s="261"/>
      <c r="H242" s="261"/>
      <c r="I242" s="280"/>
    </row>
    <row r="243" spans="2:9" s="271" customFormat="1">
      <c r="B243" s="279"/>
      <c r="C243" s="279"/>
      <c r="D243" s="279"/>
      <c r="E243" s="280"/>
      <c r="F243" s="280"/>
      <c r="G243" s="261"/>
      <c r="H243" s="261"/>
      <c r="I243" s="280"/>
    </row>
    <row r="244" spans="2:9" s="271" customFormat="1">
      <c r="B244" s="279"/>
      <c r="C244" s="279"/>
      <c r="D244" s="279"/>
      <c r="E244" s="280"/>
      <c r="F244" s="280"/>
      <c r="G244" s="261"/>
      <c r="H244" s="261"/>
      <c r="I244" s="280"/>
    </row>
    <row r="245" spans="2:9" s="271" customFormat="1">
      <c r="B245" s="279"/>
      <c r="C245" s="279"/>
      <c r="D245" s="279"/>
      <c r="E245" s="280"/>
      <c r="F245" s="280"/>
      <c r="G245" s="261"/>
      <c r="H245" s="261"/>
      <c r="I245" s="280"/>
    </row>
    <row r="246" spans="2:9" s="271" customFormat="1">
      <c r="B246" s="279"/>
      <c r="C246" s="279"/>
      <c r="D246" s="279"/>
      <c r="E246" s="280"/>
      <c r="F246" s="280"/>
      <c r="G246" s="261"/>
      <c r="H246" s="261"/>
      <c r="I246" s="280"/>
    </row>
    <row r="247" spans="2:9" s="271" customFormat="1">
      <c r="B247" s="279"/>
      <c r="C247" s="279"/>
      <c r="D247" s="279"/>
      <c r="E247" s="280"/>
      <c r="F247" s="280"/>
      <c r="G247" s="261"/>
      <c r="H247" s="261"/>
      <c r="I247" s="280"/>
    </row>
    <row r="248" spans="2:9" s="271" customFormat="1">
      <c r="B248" s="279"/>
      <c r="C248" s="279"/>
      <c r="D248" s="279"/>
      <c r="E248" s="280"/>
      <c r="F248" s="280"/>
      <c r="G248" s="261"/>
      <c r="H248" s="261"/>
      <c r="I248" s="280"/>
    </row>
    <row r="249" spans="2:9" s="271" customFormat="1">
      <c r="B249" s="279"/>
      <c r="C249" s="279"/>
      <c r="D249" s="279"/>
      <c r="E249" s="280"/>
      <c r="F249" s="280"/>
      <c r="G249" s="261"/>
      <c r="H249" s="261"/>
      <c r="I249" s="280"/>
    </row>
    <row r="250" spans="2:9" s="271" customFormat="1">
      <c r="B250" s="279"/>
      <c r="C250" s="279"/>
      <c r="D250" s="279"/>
      <c r="E250" s="280"/>
      <c r="F250" s="280"/>
      <c r="G250" s="261"/>
      <c r="H250" s="261"/>
      <c r="I250" s="280"/>
    </row>
    <row r="251" spans="2:9" s="271" customFormat="1">
      <c r="B251" s="279"/>
      <c r="C251" s="279"/>
      <c r="D251" s="279"/>
      <c r="E251" s="280"/>
      <c r="F251" s="280"/>
      <c r="G251" s="261"/>
      <c r="H251" s="261"/>
      <c r="I251" s="280"/>
    </row>
    <row r="252" spans="2:9" s="271" customFormat="1">
      <c r="B252" s="279"/>
      <c r="C252" s="279"/>
      <c r="D252" s="279"/>
      <c r="E252" s="280"/>
      <c r="F252" s="280"/>
      <c r="G252" s="261"/>
      <c r="H252" s="261"/>
      <c r="I252" s="280"/>
    </row>
    <row r="253" spans="2:9" s="271" customFormat="1">
      <c r="B253" s="279"/>
      <c r="C253" s="279"/>
      <c r="D253" s="279"/>
      <c r="E253" s="280"/>
      <c r="F253" s="280"/>
      <c r="G253" s="261"/>
      <c r="H253" s="261"/>
      <c r="I253" s="280"/>
    </row>
    <row r="254" spans="2:9" s="271" customFormat="1">
      <c r="B254" s="279"/>
      <c r="C254" s="279"/>
      <c r="D254" s="279"/>
      <c r="E254" s="280"/>
      <c r="F254" s="280"/>
      <c r="G254" s="261"/>
      <c r="H254" s="261"/>
      <c r="I254" s="280"/>
    </row>
    <row r="255" spans="2:9" s="271" customFormat="1">
      <c r="B255" s="279"/>
      <c r="C255" s="279"/>
      <c r="D255" s="279"/>
      <c r="E255" s="280"/>
      <c r="F255" s="280"/>
      <c r="G255" s="261"/>
      <c r="H255" s="261"/>
      <c r="I255" s="280"/>
    </row>
    <row r="256" spans="2:9" s="271" customFormat="1">
      <c r="B256" s="279"/>
      <c r="C256" s="279"/>
      <c r="D256" s="279"/>
      <c r="E256" s="280"/>
      <c r="F256" s="280"/>
      <c r="G256" s="261"/>
      <c r="H256" s="261"/>
      <c r="I256" s="280"/>
    </row>
    <row r="257" spans="2:9" s="271" customFormat="1">
      <c r="B257" s="279"/>
      <c r="C257" s="279"/>
      <c r="D257" s="279"/>
      <c r="E257" s="280"/>
      <c r="F257" s="280"/>
      <c r="G257" s="261"/>
      <c r="H257" s="261"/>
      <c r="I257" s="280"/>
    </row>
    <row r="258" spans="2:9" s="271" customFormat="1">
      <c r="B258" s="279"/>
      <c r="C258" s="279"/>
      <c r="D258" s="279"/>
      <c r="E258" s="280"/>
      <c r="F258" s="280"/>
      <c r="G258" s="261"/>
      <c r="H258" s="261"/>
      <c r="I258" s="280"/>
    </row>
    <row r="259" spans="2:9" s="271" customFormat="1">
      <c r="B259" s="279"/>
      <c r="C259" s="279"/>
      <c r="D259" s="279"/>
      <c r="E259" s="280"/>
      <c r="F259" s="280"/>
      <c r="G259" s="261"/>
      <c r="H259" s="261"/>
      <c r="I259" s="280"/>
    </row>
    <row r="260" spans="2:9" s="271" customFormat="1">
      <c r="B260" s="279"/>
      <c r="C260" s="279"/>
      <c r="D260" s="279"/>
      <c r="E260" s="280"/>
      <c r="F260" s="280"/>
      <c r="G260" s="261"/>
      <c r="H260" s="261"/>
      <c r="I260" s="280"/>
    </row>
    <row r="261" spans="2:9" s="271" customFormat="1">
      <c r="B261" s="279"/>
      <c r="C261" s="279"/>
      <c r="D261" s="279"/>
      <c r="E261" s="280"/>
      <c r="F261" s="280"/>
      <c r="G261" s="261"/>
      <c r="H261" s="261"/>
      <c r="I261" s="280"/>
    </row>
    <row r="262" spans="2:9" s="271" customFormat="1">
      <c r="B262" s="279"/>
      <c r="C262" s="279"/>
      <c r="D262" s="279"/>
      <c r="E262" s="280"/>
      <c r="F262" s="280"/>
      <c r="G262" s="261"/>
      <c r="H262" s="261"/>
      <c r="I262" s="280"/>
    </row>
    <row r="263" spans="2:9" s="271" customFormat="1">
      <c r="B263" s="279"/>
      <c r="C263" s="279"/>
      <c r="D263" s="279"/>
      <c r="E263" s="280"/>
      <c r="F263" s="280"/>
      <c r="G263" s="261"/>
      <c r="H263" s="261"/>
      <c r="I263" s="280"/>
    </row>
    <row r="264" spans="2:9" s="271" customFormat="1">
      <c r="B264" s="279"/>
      <c r="C264" s="279"/>
      <c r="D264" s="279"/>
      <c r="E264" s="280"/>
      <c r="F264" s="280"/>
      <c r="G264" s="261"/>
      <c r="H264" s="261"/>
      <c r="I264" s="280"/>
    </row>
    <row r="265" spans="2:9" s="271" customFormat="1">
      <c r="B265" s="279"/>
      <c r="C265" s="279"/>
      <c r="D265" s="279"/>
      <c r="E265" s="280"/>
      <c r="F265" s="280"/>
      <c r="G265" s="261"/>
      <c r="H265" s="261"/>
      <c r="I265" s="280"/>
    </row>
    <row r="266" spans="2:9" s="271" customFormat="1">
      <c r="B266" s="279"/>
      <c r="C266" s="279"/>
      <c r="D266" s="279"/>
      <c r="E266" s="280"/>
      <c r="F266" s="280"/>
      <c r="G266" s="261"/>
      <c r="H266" s="261"/>
      <c r="I266" s="280"/>
    </row>
    <row r="267" spans="2:9" s="271" customFormat="1">
      <c r="B267" s="279"/>
      <c r="C267" s="279"/>
      <c r="D267" s="279"/>
      <c r="E267" s="280"/>
      <c r="F267" s="280"/>
      <c r="G267" s="261"/>
      <c r="H267" s="261"/>
      <c r="I267" s="280"/>
    </row>
    <row r="268" spans="2:9" s="271" customFormat="1">
      <c r="B268" s="279"/>
      <c r="C268" s="279"/>
      <c r="D268" s="279"/>
      <c r="E268" s="280"/>
      <c r="F268" s="280"/>
      <c r="G268" s="261"/>
      <c r="H268" s="261"/>
      <c r="I268" s="280"/>
    </row>
    <row r="269" spans="2:9" s="271" customFormat="1">
      <c r="B269" s="279"/>
      <c r="C269" s="279"/>
      <c r="D269" s="279"/>
      <c r="E269" s="280"/>
      <c r="F269" s="280"/>
      <c r="G269" s="261"/>
      <c r="H269" s="261"/>
      <c r="I269" s="280"/>
    </row>
    <row r="270" spans="2:9" s="271" customFormat="1">
      <c r="B270" s="279"/>
      <c r="C270" s="279"/>
      <c r="D270" s="279"/>
      <c r="E270" s="280"/>
      <c r="F270" s="280"/>
      <c r="G270" s="261"/>
      <c r="H270" s="261"/>
      <c r="I270" s="280"/>
    </row>
    <row r="271" spans="2:9" s="271" customFormat="1">
      <c r="B271" s="279"/>
      <c r="C271" s="279"/>
      <c r="D271" s="279"/>
      <c r="E271" s="280"/>
      <c r="F271" s="280"/>
      <c r="G271" s="261"/>
      <c r="H271" s="261"/>
      <c r="I271" s="280"/>
    </row>
    <row r="272" spans="2:9" s="271" customFormat="1">
      <c r="B272" s="279"/>
      <c r="C272" s="279"/>
      <c r="D272" s="279"/>
      <c r="E272" s="280"/>
      <c r="F272" s="280"/>
      <c r="G272" s="261"/>
      <c r="H272" s="261"/>
      <c r="I272" s="280"/>
    </row>
    <row r="273" spans="2:9" s="271" customFormat="1">
      <c r="B273" s="279"/>
      <c r="C273" s="279"/>
      <c r="D273" s="279"/>
      <c r="E273" s="280"/>
      <c r="F273" s="280"/>
      <c r="G273" s="261"/>
      <c r="H273" s="261"/>
      <c r="I273" s="280"/>
    </row>
    <row r="274" spans="2:9" s="271" customFormat="1">
      <c r="B274" s="279"/>
      <c r="C274" s="279"/>
      <c r="D274" s="279"/>
      <c r="E274" s="280"/>
      <c r="F274" s="280"/>
      <c r="G274" s="261"/>
      <c r="H274" s="261"/>
      <c r="I274" s="280"/>
    </row>
    <row r="275" spans="2:9" s="271" customFormat="1">
      <c r="B275" s="279"/>
      <c r="C275" s="279"/>
      <c r="D275" s="279"/>
      <c r="E275" s="280"/>
      <c r="F275" s="280"/>
      <c r="G275" s="261"/>
      <c r="H275" s="261"/>
      <c r="I275" s="280"/>
    </row>
    <row r="276" spans="2:9" s="271" customFormat="1">
      <c r="B276" s="279"/>
      <c r="C276" s="279"/>
      <c r="D276" s="279"/>
      <c r="E276" s="280"/>
      <c r="F276" s="280"/>
      <c r="G276" s="261"/>
      <c r="H276" s="261"/>
      <c r="I276" s="280"/>
    </row>
    <row r="277" spans="2:9" s="271" customFormat="1">
      <c r="B277" s="279"/>
      <c r="C277" s="279"/>
      <c r="D277" s="279"/>
      <c r="E277" s="280"/>
      <c r="F277" s="280"/>
      <c r="G277" s="261"/>
      <c r="H277" s="261"/>
      <c r="I277" s="280"/>
    </row>
    <row r="278" spans="2:9" s="271" customFormat="1">
      <c r="B278" s="279"/>
      <c r="C278" s="279"/>
      <c r="D278" s="279"/>
      <c r="E278" s="280"/>
      <c r="F278" s="280"/>
      <c r="G278" s="261"/>
      <c r="H278" s="261"/>
      <c r="I278" s="280"/>
    </row>
    <row r="279" spans="2:9" s="271" customFormat="1">
      <c r="B279" s="279"/>
      <c r="C279" s="279"/>
      <c r="D279" s="279"/>
      <c r="E279" s="280"/>
      <c r="F279" s="280"/>
      <c r="G279" s="261"/>
      <c r="H279" s="261"/>
      <c r="I279" s="280"/>
    </row>
    <row r="280" spans="2:9" s="271" customFormat="1">
      <c r="B280" s="279"/>
      <c r="C280" s="279"/>
      <c r="D280" s="279"/>
      <c r="E280" s="280"/>
      <c r="F280" s="280"/>
      <c r="G280" s="261"/>
      <c r="H280" s="261"/>
      <c r="I280" s="280"/>
    </row>
    <row r="281" spans="2:9" s="271" customFormat="1">
      <c r="B281" s="279"/>
      <c r="C281" s="279"/>
      <c r="D281" s="279"/>
      <c r="E281" s="280"/>
      <c r="F281" s="280"/>
      <c r="G281" s="261"/>
      <c r="H281" s="261"/>
      <c r="I281" s="280"/>
    </row>
    <row r="282" spans="2:9" s="271" customFormat="1">
      <c r="B282" s="279"/>
      <c r="C282" s="279"/>
      <c r="D282" s="279"/>
      <c r="E282" s="280"/>
      <c r="F282" s="280"/>
      <c r="G282" s="261"/>
      <c r="H282" s="261"/>
      <c r="I282" s="280"/>
    </row>
    <row r="283" spans="2:9" s="271" customFormat="1">
      <c r="B283" s="279"/>
      <c r="C283" s="279"/>
      <c r="D283" s="279"/>
      <c r="E283" s="280"/>
      <c r="F283" s="280"/>
      <c r="G283" s="261"/>
      <c r="H283" s="261"/>
      <c r="I283" s="280"/>
    </row>
    <row r="284" spans="2:9" s="271" customFormat="1">
      <c r="B284" s="279"/>
      <c r="C284" s="279"/>
      <c r="D284" s="279"/>
      <c r="E284" s="280"/>
      <c r="F284" s="280"/>
      <c r="G284" s="261"/>
      <c r="H284" s="261"/>
      <c r="I284" s="280"/>
    </row>
    <row r="285" spans="2:9" s="271" customFormat="1">
      <c r="B285" s="279"/>
      <c r="C285" s="279"/>
      <c r="D285" s="279"/>
      <c r="E285" s="280"/>
      <c r="F285" s="280"/>
      <c r="G285" s="261"/>
      <c r="H285" s="261"/>
      <c r="I285" s="280"/>
    </row>
    <row r="286" spans="2:9" s="271" customFormat="1">
      <c r="B286" s="279"/>
      <c r="C286" s="279"/>
      <c r="D286" s="279"/>
      <c r="E286" s="280"/>
      <c r="F286" s="280"/>
      <c r="G286" s="261"/>
      <c r="H286" s="261"/>
      <c r="I286" s="280"/>
    </row>
    <row r="287" spans="2:9" s="271" customFormat="1">
      <c r="B287" s="279"/>
      <c r="C287" s="279"/>
      <c r="D287" s="279"/>
      <c r="E287" s="280"/>
      <c r="F287" s="280"/>
      <c r="G287" s="261"/>
      <c r="H287" s="261"/>
      <c r="I287" s="280"/>
    </row>
    <row r="288" spans="2:9" s="271" customFormat="1">
      <c r="B288" s="279"/>
      <c r="C288" s="279"/>
      <c r="D288" s="279"/>
      <c r="E288" s="280"/>
      <c r="F288" s="280"/>
      <c r="G288" s="261"/>
      <c r="H288" s="261"/>
      <c r="I288" s="280"/>
    </row>
    <row r="289" spans="2:9" s="271" customFormat="1">
      <c r="B289" s="279"/>
      <c r="C289" s="279"/>
      <c r="D289" s="279"/>
      <c r="E289" s="280"/>
      <c r="F289" s="280"/>
      <c r="G289" s="261"/>
      <c r="H289" s="261"/>
      <c r="I289" s="280"/>
    </row>
    <row r="290" spans="2:9" s="271" customFormat="1">
      <c r="B290" s="279"/>
      <c r="C290" s="279"/>
      <c r="D290" s="279"/>
      <c r="E290" s="280"/>
      <c r="F290" s="280"/>
      <c r="G290" s="261"/>
      <c r="H290" s="261"/>
      <c r="I290" s="280"/>
    </row>
    <row r="291" spans="2:9" s="271" customFormat="1">
      <c r="B291" s="279"/>
      <c r="C291" s="279"/>
      <c r="D291" s="279"/>
      <c r="E291" s="280"/>
      <c r="F291" s="280"/>
      <c r="G291" s="261"/>
      <c r="H291" s="261"/>
      <c r="I291" s="280"/>
    </row>
    <row r="292" spans="2:9" s="271" customFormat="1">
      <c r="B292" s="279"/>
      <c r="C292" s="279"/>
      <c r="D292" s="279"/>
      <c r="E292" s="280"/>
      <c r="F292" s="280"/>
      <c r="G292" s="261"/>
      <c r="H292" s="261"/>
      <c r="I292" s="280"/>
    </row>
    <row r="293" spans="2:9" s="271" customFormat="1">
      <c r="B293" s="279"/>
      <c r="C293" s="279"/>
      <c r="D293" s="279"/>
      <c r="E293" s="280"/>
      <c r="F293" s="280"/>
      <c r="G293" s="261"/>
      <c r="H293" s="261"/>
      <c r="I293" s="280"/>
    </row>
    <row r="294" spans="2:9" s="271" customFormat="1">
      <c r="B294" s="279"/>
      <c r="C294" s="279"/>
      <c r="D294" s="279"/>
      <c r="E294" s="280"/>
      <c r="F294" s="280"/>
      <c r="G294" s="261"/>
      <c r="H294" s="261"/>
      <c r="I294" s="280"/>
    </row>
    <row r="295" spans="2:9" s="271" customFormat="1">
      <c r="B295" s="279"/>
      <c r="C295" s="279"/>
      <c r="D295" s="279"/>
      <c r="E295" s="280"/>
      <c r="F295" s="280"/>
      <c r="G295" s="261"/>
      <c r="H295" s="261"/>
      <c r="I295" s="280"/>
    </row>
    <row r="296" spans="2:9" s="271" customFormat="1">
      <c r="B296" s="279"/>
      <c r="C296" s="279"/>
      <c r="D296" s="279"/>
      <c r="E296" s="280"/>
      <c r="F296" s="280"/>
      <c r="G296" s="261"/>
      <c r="H296" s="261"/>
      <c r="I296" s="280"/>
    </row>
    <row r="297" spans="2:9" s="271" customFormat="1">
      <c r="B297" s="279"/>
      <c r="C297" s="279"/>
      <c r="D297" s="279"/>
      <c r="E297" s="280"/>
      <c r="F297" s="280"/>
      <c r="G297" s="261"/>
      <c r="H297" s="261"/>
      <c r="I297" s="280"/>
    </row>
    <row r="298" spans="2:9" s="271" customFormat="1">
      <c r="B298" s="279"/>
      <c r="C298" s="279"/>
      <c r="D298" s="279"/>
      <c r="E298" s="280"/>
      <c r="F298" s="280"/>
      <c r="G298" s="261"/>
      <c r="H298" s="261"/>
      <c r="I298" s="280"/>
    </row>
    <row r="299" spans="2:9" s="271" customFormat="1">
      <c r="B299" s="279"/>
      <c r="C299" s="279"/>
      <c r="D299" s="279"/>
      <c r="E299" s="280"/>
      <c r="F299" s="280"/>
      <c r="G299" s="261"/>
      <c r="H299" s="261"/>
      <c r="I299" s="280"/>
    </row>
    <row r="300" spans="2:9" s="271" customFormat="1">
      <c r="B300" s="279"/>
      <c r="C300" s="279"/>
      <c r="D300" s="279"/>
      <c r="E300" s="280"/>
      <c r="F300" s="280"/>
      <c r="G300" s="261"/>
      <c r="H300" s="261"/>
      <c r="I300" s="280"/>
    </row>
    <row r="301" spans="2:9" s="271" customFormat="1">
      <c r="B301" s="279"/>
      <c r="C301" s="279"/>
      <c r="D301" s="279"/>
      <c r="E301" s="280"/>
      <c r="F301" s="280"/>
      <c r="G301" s="261"/>
      <c r="H301" s="261"/>
      <c r="I301" s="280"/>
    </row>
    <row r="302" spans="2:9" s="271" customFormat="1">
      <c r="B302" s="279"/>
      <c r="C302" s="279"/>
      <c r="D302" s="279"/>
      <c r="E302" s="280"/>
      <c r="F302" s="280"/>
      <c r="G302" s="261"/>
      <c r="H302" s="261"/>
      <c r="I302" s="280"/>
    </row>
    <row r="303" spans="2:9" s="271" customFormat="1">
      <c r="B303" s="279"/>
      <c r="C303" s="279"/>
      <c r="D303" s="279"/>
      <c r="E303" s="280"/>
      <c r="F303" s="280"/>
      <c r="G303" s="261"/>
      <c r="H303" s="261"/>
      <c r="I303" s="280"/>
    </row>
    <row r="304" spans="2:9" s="271" customFormat="1">
      <c r="B304" s="279"/>
      <c r="C304" s="279"/>
      <c r="D304" s="279"/>
      <c r="E304" s="280"/>
      <c r="F304" s="280"/>
      <c r="G304" s="261"/>
      <c r="H304" s="261"/>
      <c r="I304" s="280"/>
    </row>
    <row r="305" spans="2:9" s="271" customFormat="1">
      <c r="B305" s="279"/>
      <c r="C305" s="279"/>
      <c r="D305" s="279"/>
      <c r="E305" s="280"/>
      <c r="F305" s="280"/>
      <c r="G305" s="261"/>
      <c r="H305" s="261"/>
      <c r="I305" s="280"/>
    </row>
    <row r="306" spans="2:9" s="271" customFormat="1">
      <c r="B306" s="279"/>
      <c r="C306" s="279"/>
      <c r="D306" s="279"/>
      <c r="E306" s="280"/>
      <c r="F306" s="280"/>
      <c r="G306" s="261"/>
      <c r="H306" s="261"/>
      <c r="I306" s="280"/>
    </row>
    <row r="307" spans="2:9" s="271" customFormat="1">
      <c r="B307" s="279"/>
      <c r="C307" s="279"/>
      <c r="D307" s="279"/>
      <c r="E307" s="280"/>
      <c r="F307" s="280"/>
      <c r="G307" s="261"/>
      <c r="H307" s="261"/>
      <c r="I307" s="280"/>
    </row>
    <row r="308" spans="2:9" s="271" customFormat="1">
      <c r="B308" s="279"/>
      <c r="C308" s="279"/>
      <c r="D308" s="279"/>
      <c r="E308" s="280"/>
      <c r="F308" s="280"/>
      <c r="G308" s="261"/>
      <c r="H308" s="261"/>
      <c r="I308" s="280"/>
    </row>
    <row r="309" spans="2:9" s="271" customFormat="1">
      <c r="B309" s="279"/>
      <c r="C309" s="279"/>
      <c r="D309" s="279"/>
      <c r="E309" s="280"/>
      <c r="F309" s="280"/>
      <c r="G309" s="261"/>
      <c r="H309" s="261"/>
      <c r="I309" s="280"/>
    </row>
    <row r="310" spans="2:9" s="271" customFormat="1">
      <c r="B310" s="279"/>
      <c r="C310" s="279"/>
      <c r="D310" s="279"/>
      <c r="E310" s="280"/>
      <c r="F310" s="280"/>
      <c r="G310" s="261"/>
      <c r="H310" s="261"/>
      <c r="I310" s="280"/>
    </row>
    <row r="311" spans="2:9" s="271" customFormat="1">
      <c r="B311" s="279"/>
      <c r="C311" s="279"/>
      <c r="D311" s="279"/>
      <c r="E311" s="280"/>
      <c r="F311" s="280"/>
      <c r="G311" s="261"/>
      <c r="H311" s="261"/>
      <c r="I311" s="280"/>
    </row>
    <row r="312" spans="2:9" s="271" customFormat="1">
      <c r="B312" s="279"/>
      <c r="C312" s="279"/>
      <c r="D312" s="279"/>
      <c r="E312" s="280"/>
      <c r="F312" s="280"/>
      <c r="G312" s="261"/>
      <c r="H312" s="261"/>
      <c r="I312" s="280"/>
    </row>
    <row r="313" spans="2:9" s="271" customFormat="1">
      <c r="B313" s="279"/>
      <c r="C313" s="279"/>
      <c r="D313" s="279"/>
      <c r="E313" s="280"/>
      <c r="F313" s="280"/>
      <c r="G313" s="261"/>
      <c r="H313" s="261"/>
      <c r="I313" s="280"/>
    </row>
    <row r="314" spans="2:9" s="271" customFormat="1">
      <c r="B314" s="279"/>
      <c r="C314" s="279"/>
      <c r="D314" s="279"/>
      <c r="E314" s="280"/>
      <c r="F314" s="280"/>
      <c r="G314" s="261"/>
      <c r="H314" s="261"/>
      <c r="I314" s="280"/>
    </row>
    <row r="315" spans="2:9" s="271" customFormat="1">
      <c r="B315" s="279"/>
      <c r="C315" s="279"/>
      <c r="D315" s="279"/>
      <c r="E315" s="280"/>
      <c r="F315" s="280"/>
      <c r="G315" s="261"/>
      <c r="H315" s="261"/>
      <c r="I315" s="280"/>
    </row>
    <row r="316" spans="2:9" s="271" customFormat="1">
      <c r="B316" s="279"/>
      <c r="C316" s="279"/>
      <c r="D316" s="279"/>
      <c r="E316" s="280"/>
      <c r="F316" s="280"/>
      <c r="G316" s="261"/>
      <c r="H316" s="261"/>
      <c r="I316" s="280"/>
    </row>
    <row r="317" spans="2:9" s="271" customFormat="1">
      <c r="B317" s="279"/>
      <c r="C317" s="279"/>
      <c r="D317" s="279"/>
      <c r="E317" s="280"/>
      <c r="F317" s="280"/>
      <c r="G317" s="261"/>
      <c r="H317" s="261"/>
      <c r="I317" s="280"/>
    </row>
    <row r="318" spans="2:9" s="271" customFormat="1">
      <c r="B318" s="279"/>
      <c r="C318" s="279"/>
      <c r="D318" s="279"/>
      <c r="E318" s="280"/>
      <c r="F318" s="280"/>
      <c r="G318" s="261"/>
      <c r="H318" s="261"/>
      <c r="I318" s="280"/>
    </row>
    <row r="319" spans="2:9" s="271" customFormat="1">
      <c r="B319" s="279"/>
      <c r="C319" s="279"/>
      <c r="D319" s="279"/>
      <c r="E319" s="280"/>
      <c r="F319" s="280"/>
      <c r="G319" s="261"/>
      <c r="H319" s="261"/>
      <c r="I319" s="280"/>
    </row>
    <row r="320" spans="2:9" s="271" customFormat="1">
      <c r="B320" s="279"/>
      <c r="C320" s="279"/>
      <c r="D320" s="279"/>
      <c r="E320" s="280"/>
      <c r="F320" s="280"/>
      <c r="G320" s="261"/>
      <c r="H320" s="261"/>
      <c r="I320" s="280"/>
    </row>
    <row r="321" spans="2:9" s="271" customFormat="1">
      <c r="B321" s="279"/>
      <c r="C321" s="279"/>
      <c r="D321" s="279"/>
      <c r="E321" s="280"/>
      <c r="F321" s="280"/>
      <c r="G321" s="261"/>
      <c r="H321" s="261"/>
      <c r="I321" s="280"/>
    </row>
    <row r="322" spans="2:9" s="271" customFormat="1">
      <c r="B322" s="279"/>
      <c r="C322" s="279"/>
      <c r="D322" s="279"/>
      <c r="E322" s="280"/>
      <c r="F322" s="280"/>
      <c r="G322" s="261"/>
      <c r="H322" s="261"/>
      <c r="I322" s="280"/>
    </row>
    <row r="323" spans="2:9" s="271" customFormat="1">
      <c r="B323" s="279"/>
      <c r="C323" s="279"/>
      <c r="D323" s="279"/>
      <c r="E323" s="280"/>
      <c r="F323" s="280"/>
      <c r="G323" s="261"/>
      <c r="H323" s="261"/>
      <c r="I323" s="280"/>
    </row>
    <row r="324" spans="2:9" s="271" customFormat="1">
      <c r="B324" s="279"/>
      <c r="C324" s="279"/>
      <c r="D324" s="279"/>
      <c r="E324" s="280"/>
      <c r="F324" s="280"/>
      <c r="G324" s="261"/>
      <c r="H324" s="261"/>
      <c r="I324" s="280"/>
    </row>
    <row r="325" spans="2:9" s="271" customFormat="1">
      <c r="B325" s="279"/>
      <c r="C325" s="279"/>
      <c r="D325" s="279"/>
      <c r="E325" s="280"/>
      <c r="F325" s="280"/>
      <c r="G325" s="261"/>
      <c r="H325" s="261"/>
      <c r="I325" s="280"/>
    </row>
    <row r="326" spans="2:9" s="271" customFormat="1">
      <c r="B326" s="279"/>
      <c r="C326" s="279"/>
      <c r="D326" s="279"/>
      <c r="E326" s="280"/>
      <c r="F326" s="280"/>
      <c r="G326" s="261"/>
      <c r="H326" s="261"/>
      <c r="I326" s="280"/>
    </row>
    <row r="327" spans="2:9" s="271" customFormat="1">
      <c r="B327" s="279"/>
      <c r="C327" s="279"/>
      <c r="D327" s="279"/>
      <c r="E327" s="280"/>
      <c r="F327" s="280"/>
      <c r="G327" s="261"/>
      <c r="H327" s="261"/>
      <c r="I327" s="280"/>
    </row>
    <row r="328" spans="2:9" s="271" customFormat="1">
      <c r="B328" s="279"/>
      <c r="C328" s="279"/>
      <c r="D328" s="279"/>
      <c r="E328" s="280"/>
      <c r="F328" s="280"/>
      <c r="G328" s="261"/>
      <c r="H328" s="261"/>
      <c r="I328" s="280"/>
    </row>
    <row r="329" spans="2:9" s="271" customFormat="1">
      <c r="B329" s="279"/>
      <c r="C329" s="279"/>
      <c r="D329" s="279"/>
      <c r="E329" s="280"/>
      <c r="F329" s="280"/>
      <c r="G329" s="261"/>
      <c r="H329" s="261"/>
      <c r="I329" s="280"/>
    </row>
    <row r="330" spans="2:9" s="271" customFormat="1">
      <c r="B330" s="279"/>
      <c r="C330" s="279"/>
      <c r="D330" s="279"/>
      <c r="E330" s="280"/>
      <c r="F330" s="280"/>
      <c r="G330" s="261"/>
      <c r="H330" s="261"/>
      <c r="I330" s="280"/>
    </row>
    <row r="331" spans="2:9" s="271" customFormat="1">
      <c r="B331" s="279"/>
      <c r="C331" s="279"/>
      <c r="D331" s="279"/>
      <c r="E331" s="280"/>
      <c r="F331" s="280"/>
      <c r="G331" s="261"/>
      <c r="H331" s="261"/>
      <c r="I331" s="280"/>
    </row>
    <row r="332" spans="2:9" s="271" customFormat="1">
      <c r="B332" s="279"/>
      <c r="C332" s="279"/>
      <c r="D332" s="279"/>
      <c r="E332" s="280"/>
      <c r="F332" s="280"/>
      <c r="G332" s="261"/>
      <c r="H332" s="261"/>
      <c r="I332" s="280"/>
    </row>
    <row r="333" spans="2:9" s="271" customFormat="1">
      <c r="B333" s="279"/>
      <c r="C333" s="279"/>
      <c r="D333" s="279"/>
      <c r="E333" s="280"/>
      <c r="F333" s="280"/>
      <c r="G333" s="261"/>
      <c r="H333" s="261"/>
      <c r="I333" s="280"/>
    </row>
    <row r="334" spans="2:9" s="271" customFormat="1">
      <c r="B334" s="279"/>
      <c r="C334" s="279"/>
      <c r="D334" s="279"/>
      <c r="E334" s="280"/>
      <c r="F334" s="280"/>
      <c r="G334" s="261"/>
      <c r="H334" s="261"/>
      <c r="I334" s="280"/>
    </row>
    <row r="335" spans="2:9" s="271" customFormat="1">
      <c r="B335" s="279"/>
      <c r="C335" s="279"/>
      <c r="D335" s="279"/>
      <c r="E335" s="280"/>
      <c r="F335" s="280"/>
      <c r="G335" s="261"/>
      <c r="H335" s="261"/>
      <c r="I335" s="280"/>
    </row>
    <row r="336" spans="2:9" s="271" customFormat="1">
      <c r="B336" s="279"/>
      <c r="C336" s="279"/>
      <c r="D336" s="279"/>
      <c r="E336" s="280"/>
      <c r="F336" s="280"/>
      <c r="G336" s="261"/>
      <c r="H336" s="261"/>
      <c r="I336" s="280"/>
    </row>
    <row r="337" spans="2:9" s="271" customFormat="1">
      <c r="B337" s="279"/>
      <c r="C337" s="279"/>
      <c r="D337" s="279"/>
      <c r="E337" s="280"/>
      <c r="F337" s="280"/>
      <c r="G337" s="261"/>
      <c r="H337" s="261"/>
      <c r="I337" s="280"/>
    </row>
    <row r="338" spans="2:9" s="271" customFormat="1">
      <c r="B338" s="279"/>
      <c r="C338" s="279"/>
      <c r="D338" s="279"/>
      <c r="E338" s="280"/>
      <c r="F338" s="280"/>
      <c r="G338" s="261"/>
      <c r="H338" s="261"/>
      <c r="I338" s="280"/>
    </row>
    <row r="339" spans="2:9" s="271" customFormat="1">
      <c r="B339" s="279"/>
      <c r="C339" s="279"/>
      <c r="D339" s="279"/>
      <c r="E339" s="280"/>
      <c r="F339" s="280"/>
      <c r="G339" s="261"/>
      <c r="H339" s="261"/>
      <c r="I339" s="280"/>
    </row>
    <row r="340" spans="2:9" s="271" customFormat="1">
      <c r="B340" s="279"/>
      <c r="C340" s="279"/>
      <c r="D340" s="279"/>
      <c r="E340" s="280"/>
      <c r="F340" s="280"/>
      <c r="G340" s="261"/>
      <c r="H340" s="261"/>
      <c r="I340" s="280"/>
    </row>
    <row r="341" spans="2:9" s="271" customFormat="1">
      <c r="B341" s="279"/>
      <c r="C341" s="279"/>
      <c r="D341" s="279"/>
      <c r="E341" s="280"/>
      <c r="F341" s="280"/>
      <c r="G341" s="261"/>
      <c r="H341" s="261"/>
      <c r="I341" s="280"/>
    </row>
    <row r="342" spans="2:9" s="271" customFormat="1">
      <c r="B342" s="279"/>
      <c r="C342" s="279"/>
      <c r="D342" s="279"/>
      <c r="E342" s="280"/>
      <c r="F342" s="280"/>
      <c r="G342" s="261"/>
      <c r="H342" s="261"/>
      <c r="I342" s="280"/>
    </row>
    <row r="343" spans="2:9" s="271" customFormat="1">
      <c r="B343" s="279"/>
      <c r="C343" s="279"/>
      <c r="D343" s="279"/>
      <c r="E343" s="280"/>
      <c r="F343" s="280"/>
      <c r="G343" s="261"/>
      <c r="H343" s="261"/>
      <c r="I343" s="280"/>
    </row>
    <row r="344" spans="2:9" s="271" customFormat="1">
      <c r="B344" s="279"/>
      <c r="C344" s="279"/>
      <c r="D344" s="279"/>
      <c r="E344" s="280"/>
      <c r="F344" s="280"/>
      <c r="G344" s="261"/>
      <c r="H344" s="261"/>
      <c r="I344" s="280"/>
    </row>
    <row r="345" spans="2:9" s="271" customFormat="1">
      <c r="B345" s="279"/>
      <c r="C345" s="279"/>
      <c r="D345" s="279"/>
      <c r="E345" s="280"/>
      <c r="F345" s="280"/>
      <c r="G345" s="261"/>
      <c r="H345" s="261"/>
      <c r="I345" s="280"/>
    </row>
    <row r="346" spans="2:9" s="271" customFormat="1">
      <c r="B346" s="279"/>
      <c r="C346" s="279"/>
      <c r="D346" s="279"/>
      <c r="E346" s="280"/>
      <c r="F346" s="280"/>
      <c r="G346" s="261"/>
      <c r="H346" s="261"/>
      <c r="I346" s="280"/>
    </row>
    <row r="347" spans="2:9" s="271" customFormat="1">
      <c r="B347" s="279"/>
      <c r="C347" s="279"/>
      <c r="D347" s="279"/>
      <c r="E347" s="280"/>
      <c r="F347" s="280"/>
      <c r="G347" s="261"/>
      <c r="H347" s="261"/>
      <c r="I347" s="280"/>
    </row>
    <row r="348" spans="2:9" s="271" customFormat="1">
      <c r="B348" s="279"/>
      <c r="C348" s="279"/>
      <c r="D348" s="279"/>
      <c r="E348" s="280"/>
      <c r="F348" s="280"/>
      <c r="G348" s="261"/>
      <c r="H348" s="261"/>
      <c r="I348" s="280"/>
    </row>
    <row r="349" spans="2:9" s="271" customFormat="1">
      <c r="B349" s="279"/>
      <c r="C349" s="279"/>
      <c r="D349" s="279"/>
      <c r="E349" s="280"/>
      <c r="F349" s="280"/>
      <c r="G349" s="261"/>
      <c r="H349" s="261"/>
      <c r="I349" s="280"/>
    </row>
    <row r="350" spans="2:9" s="271" customFormat="1">
      <c r="B350" s="279"/>
      <c r="C350" s="279"/>
      <c r="D350" s="279"/>
      <c r="E350" s="280"/>
      <c r="F350" s="280"/>
      <c r="G350" s="261"/>
      <c r="H350" s="261"/>
      <c r="I350" s="280"/>
    </row>
    <row r="351" spans="2:9" s="271" customFormat="1">
      <c r="B351" s="279"/>
      <c r="C351" s="279"/>
      <c r="D351" s="279"/>
      <c r="E351" s="280"/>
      <c r="F351" s="280"/>
      <c r="G351" s="261"/>
      <c r="H351" s="261"/>
      <c r="I351" s="280"/>
    </row>
    <row r="352" spans="2:9" s="271" customFormat="1">
      <c r="B352" s="279"/>
      <c r="C352" s="279"/>
      <c r="D352" s="279"/>
      <c r="E352" s="280"/>
      <c r="F352" s="280"/>
      <c r="G352" s="261"/>
      <c r="H352" s="261"/>
      <c r="I352" s="280"/>
    </row>
    <row r="353" spans="2:9" s="271" customFormat="1">
      <c r="B353" s="279"/>
      <c r="C353" s="279"/>
      <c r="D353" s="279"/>
      <c r="E353" s="280"/>
      <c r="F353" s="280"/>
      <c r="G353" s="261"/>
      <c r="H353" s="261"/>
      <c r="I353" s="280"/>
    </row>
    <row r="354" spans="2:9" s="271" customFormat="1">
      <c r="B354" s="279"/>
      <c r="C354" s="279"/>
      <c r="D354" s="279"/>
      <c r="E354" s="280"/>
      <c r="F354" s="280"/>
      <c r="G354" s="261"/>
      <c r="H354" s="261"/>
      <c r="I354" s="280"/>
    </row>
    <row r="355" spans="2:9" s="271" customFormat="1">
      <c r="B355" s="279"/>
      <c r="C355" s="279"/>
      <c r="D355" s="279"/>
      <c r="E355" s="280"/>
      <c r="F355" s="280"/>
      <c r="G355" s="261"/>
      <c r="H355" s="261"/>
      <c r="I355" s="280"/>
    </row>
    <row r="356" spans="2:9" s="271" customFormat="1">
      <c r="B356" s="279"/>
      <c r="C356" s="279"/>
      <c r="D356" s="279"/>
      <c r="E356" s="280"/>
      <c r="F356" s="280"/>
      <c r="G356" s="261"/>
      <c r="H356" s="261"/>
      <c r="I356" s="280"/>
    </row>
    <row r="357" spans="2:9" s="271" customFormat="1">
      <c r="B357" s="279"/>
      <c r="C357" s="279"/>
      <c r="D357" s="279"/>
      <c r="E357" s="280"/>
      <c r="F357" s="280"/>
      <c r="G357" s="261"/>
      <c r="H357" s="261"/>
      <c r="I357" s="280"/>
    </row>
    <row r="358" spans="2:9" s="271" customFormat="1">
      <c r="B358" s="279"/>
      <c r="C358" s="279"/>
      <c r="D358" s="279"/>
      <c r="E358" s="280"/>
      <c r="F358" s="280"/>
      <c r="G358" s="261"/>
      <c r="H358" s="261"/>
      <c r="I358" s="280"/>
    </row>
    <row r="359" spans="2:9" s="271" customFormat="1">
      <c r="B359" s="279"/>
      <c r="C359" s="279"/>
      <c r="D359" s="279"/>
      <c r="E359" s="280"/>
      <c r="F359" s="280"/>
      <c r="G359" s="261"/>
      <c r="H359" s="261"/>
      <c r="I359" s="280"/>
    </row>
    <row r="360" spans="2:9" s="271" customFormat="1">
      <c r="B360" s="279"/>
      <c r="C360" s="279"/>
      <c r="D360" s="279"/>
      <c r="E360" s="280"/>
      <c r="F360" s="280"/>
      <c r="G360" s="261"/>
      <c r="H360" s="261"/>
      <c r="I360" s="280"/>
    </row>
    <row r="361" spans="2:9" s="271" customFormat="1">
      <c r="B361" s="279"/>
      <c r="C361" s="279"/>
      <c r="D361" s="279"/>
      <c r="E361" s="280"/>
      <c r="F361" s="280"/>
      <c r="G361" s="261"/>
      <c r="H361" s="261"/>
      <c r="I361" s="280"/>
    </row>
    <row r="362" spans="2:9" s="271" customFormat="1">
      <c r="B362" s="279"/>
      <c r="C362" s="279"/>
      <c r="D362" s="279"/>
      <c r="E362" s="280"/>
      <c r="F362" s="280"/>
      <c r="G362" s="261"/>
      <c r="H362" s="261"/>
      <c r="I362" s="280"/>
    </row>
    <row r="363" spans="2:9" s="271" customFormat="1">
      <c r="B363" s="279"/>
      <c r="C363" s="279"/>
      <c r="D363" s="279"/>
      <c r="E363" s="280"/>
      <c r="F363" s="280"/>
      <c r="G363" s="261"/>
      <c r="H363" s="261"/>
      <c r="I363" s="280"/>
    </row>
    <row r="364" spans="2:9" s="271" customFormat="1">
      <c r="B364" s="279"/>
      <c r="C364" s="279"/>
      <c r="D364" s="279"/>
      <c r="E364" s="280"/>
      <c r="F364" s="280"/>
      <c r="G364" s="261"/>
      <c r="H364" s="261"/>
      <c r="I364" s="280"/>
    </row>
    <row r="365" spans="2:9" s="271" customFormat="1">
      <c r="B365" s="279"/>
      <c r="C365" s="279"/>
      <c r="D365" s="279"/>
      <c r="E365" s="280"/>
      <c r="F365" s="280"/>
      <c r="G365" s="261"/>
      <c r="H365" s="261"/>
      <c r="I365" s="280"/>
    </row>
    <row r="366" spans="2:9" s="271" customFormat="1">
      <c r="B366" s="279"/>
      <c r="C366" s="279"/>
      <c r="D366" s="279"/>
      <c r="E366" s="280"/>
      <c r="F366" s="280"/>
      <c r="G366" s="261"/>
      <c r="H366" s="261"/>
      <c r="I366" s="280"/>
    </row>
    <row r="367" spans="2:9" s="271" customFormat="1">
      <c r="B367" s="279"/>
      <c r="C367" s="279"/>
      <c r="D367" s="279"/>
      <c r="E367" s="280"/>
      <c r="F367" s="280"/>
      <c r="G367" s="261"/>
      <c r="H367" s="261"/>
      <c r="I367" s="280"/>
    </row>
    <row r="368" spans="2:9" s="271" customFormat="1">
      <c r="B368" s="279"/>
      <c r="C368" s="279"/>
      <c r="D368" s="279"/>
      <c r="E368" s="280"/>
      <c r="F368" s="280"/>
      <c r="G368" s="261"/>
      <c r="H368" s="261"/>
      <c r="I368" s="280"/>
    </row>
    <row r="369" spans="2:9" s="271" customFormat="1">
      <c r="B369" s="279"/>
      <c r="C369" s="279"/>
      <c r="D369" s="279"/>
      <c r="E369" s="280"/>
      <c r="F369" s="280"/>
      <c r="G369" s="261"/>
      <c r="H369" s="261"/>
      <c r="I369" s="280"/>
    </row>
    <row r="370" spans="2:9" s="271" customFormat="1">
      <c r="B370" s="279"/>
      <c r="C370" s="279"/>
      <c r="D370" s="279"/>
      <c r="E370" s="280"/>
      <c r="F370" s="280"/>
      <c r="G370" s="261"/>
      <c r="H370" s="261"/>
      <c r="I370" s="280"/>
    </row>
    <row r="371" spans="2:9" s="271" customFormat="1">
      <c r="B371" s="279"/>
      <c r="C371" s="279"/>
      <c r="D371" s="279"/>
      <c r="E371" s="280"/>
      <c r="F371" s="280"/>
      <c r="G371" s="261"/>
      <c r="H371" s="261"/>
      <c r="I371" s="280"/>
    </row>
    <row r="372" spans="2:9" s="271" customFormat="1">
      <c r="B372" s="279"/>
      <c r="C372" s="279"/>
      <c r="D372" s="279"/>
      <c r="E372" s="280"/>
      <c r="F372" s="280"/>
      <c r="G372" s="261"/>
      <c r="H372" s="261"/>
      <c r="I372" s="280"/>
    </row>
    <row r="373" spans="2:9" s="271" customFormat="1">
      <c r="B373" s="279"/>
      <c r="C373" s="279"/>
      <c r="D373" s="279"/>
      <c r="E373" s="280"/>
      <c r="F373" s="280"/>
      <c r="G373" s="261"/>
      <c r="H373" s="261"/>
      <c r="I373" s="280"/>
    </row>
    <row r="374" spans="2:9" s="271" customFormat="1">
      <c r="B374" s="279"/>
      <c r="C374" s="279"/>
      <c r="D374" s="279"/>
      <c r="E374" s="280"/>
      <c r="F374" s="280"/>
      <c r="G374" s="261"/>
      <c r="H374" s="261"/>
      <c r="I374" s="280"/>
    </row>
    <row r="375" spans="2:9" s="271" customFormat="1">
      <c r="B375" s="279"/>
      <c r="C375" s="279"/>
      <c r="D375" s="279"/>
      <c r="E375" s="280"/>
      <c r="F375" s="280"/>
      <c r="G375" s="261"/>
      <c r="H375" s="261"/>
      <c r="I375" s="280"/>
    </row>
    <row r="376" spans="2:9">
      <c r="E376" s="253"/>
      <c r="F376" s="253"/>
      <c r="I376" s="253"/>
    </row>
    <row r="377" spans="2:9">
      <c r="E377" s="253"/>
      <c r="F377" s="253"/>
      <c r="I377" s="253"/>
    </row>
    <row r="378" spans="2:9">
      <c r="E378" s="253"/>
      <c r="F378" s="253"/>
      <c r="I378" s="253"/>
    </row>
    <row r="379" spans="2:9">
      <c r="E379" s="253"/>
      <c r="F379" s="253"/>
      <c r="I379" s="253"/>
    </row>
    <row r="380" spans="2:9">
      <c r="E380" s="253"/>
      <c r="F380" s="253"/>
      <c r="I380" s="253"/>
    </row>
    <row r="381" spans="2:9">
      <c r="E381" s="253"/>
      <c r="F381" s="253"/>
      <c r="I381" s="253"/>
    </row>
    <row r="382" spans="2:9">
      <c r="E382" s="253"/>
      <c r="F382" s="253"/>
      <c r="I382" s="253"/>
    </row>
    <row r="383" spans="2:9">
      <c r="E383" s="253"/>
      <c r="F383" s="253"/>
      <c r="I383" s="253"/>
    </row>
    <row r="384" spans="2:9">
      <c r="E384" s="253"/>
      <c r="F384" s="253"/>
      <c r="I384" s="253"/>
    </row>
    <row r="385" spans="5:9">
      <c r="E385" s="253"/>
      <c r="F385" s="253"/>
      <c r="I385" s="253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65"/>
  <sheetViews>
    <sheetView topLeftCell="A79" workbookViewId="0">
      <pane ySplit="1380" topLeftCell="A37" activePane="bottomLeft"/>
      <selection activeCell="A79" sqref="A1:A1048576"/>
      <selection pane="bottomLeft" activeCell="W62" sqref="W62"/>
    </sheetView>
  </sheetViews>
  <sheetFormatPr defaultRowHeight="13.2"/>
  <cols>
    <col min="4" max="4" width="11.6640625" bestFit="1" customWidth="1"/>
    <col min="5" max="5" width="9.33203125" style="56"/>
    <col min="6" max="6" width="10.33203125" hidden="1" customWidth="1"/>
    <col min="7" max="7" width="12" hidden="1" customWidth="1"/>
    <col min="8" max="8" width="13" bestFit="1" customWidth="1"/>
    <col min="9" max="9" width="13" style="114" bestFit="1" customWidth="1"/>
    <col min="10" max="10" width="13" bestFit="1" customWidth="1"/>
    <col min="11" max="11" width="13" style="347" bestFit="1" customWidth="1"/>
    <col min="12" max="19" width="12" bestFit="1" customWidth="1"/>
    <col min="20" max="20" width="11.6640625" bestFit="1" customWidth="1"/>
    <col min="23" max="23" width="13" bestFit="1" customWidth="1"/>
  </cols>
  <sheetData>
    <row r="1" spans="1:23">
      <c r="D1">
        <v>1000</v>
      </c>
      <c r="E1" s="56">
        <v>4.9728000000000003</v>
      </c>
    </row>
    <row r="4" spans="1:23" s="56" customFormat="1">
      <c r="G4" s="56">
        <v>2021</v>
      </c>
      <c r="H4" s="56">
        <v>2024</v>
      </c>
      <c r="I4" s="113">
        <f t="shared" ref="I4:U4" si="0">H4+1</f>
        <v>2025</v>
      </c>
      <c r="J4" s="56">
        <f t="shared" si="0"/>
        <v>2026</v>
      </c>
      <c r="K4" s="56">
        <f t="shared" si="0"/>
        <v>2027</v>
      </c>
      <c r="L4" s="56">
        <f t="shared" si="0"/>
        <v>2028</v>
      </c>
      <c r="M4" s="56">
        <f t="shared" si="0"/>
        <v>2029</v>
      </c>
      <c r="N4" s="56">
        <f t="shared" si="0"/>
        <v>2030</v>
      </c>
      <c r="O4" s="56">
        <f t="shared" si="0"/>
        <v>2031</v>
      </c>
      <c r="P4" s="56">
        <f t="shared" si="0"/>
        <v>2032</v>
      </c>
      <c r="Q4" s="56">
        <f t="shared" si="0"/>
        <v>2033</v>
      </c>
      <c r="R4" s="56">
        <f t="shared" si="0"/>
        <v>2034</v>
      </c>
      <c r="S4" s="56">
        <f t="shared" si="0"/>
        <v>2035</v>
      </c>
      <c r="T4" s="56">
        <f t="shared" si="0"/>
        <v>2036</v>
      </c>
      <c r="U4" s="56">
        <f t="shared" si="0"/>
        <v>2037</v>
      </c>
    </row>
    <row r="5" spans="1:23" s="56" customFormat="1">
      <c r="A5" s="56">
        <v>1</v>
      </c>
      <c r="B5" s="113" t="s">
        <v>148</v>
      </c>
      <c r="H5" s="202"/>
      <c r="I5" s="202"/>
      <c r="J5" s="202"/>
      <c r="K5" s="202"/>
      <c r="L5" s="202"/>
      <c r="M5" s="202"/>
    </row>
    <row r="6" spans="1:23" s="56" customFormat="1">
      <c r="B6" s="56" t="s">
        <v>58</v>
      </c>
      <c r="D6" s="58"/>
      <c r="E6" s="58"/>
      <c r="F6" s="58"/>
      <c r="G6" s="58">
        <f>'1.BCR ref 2.2 mil. ron'!L4/1000</f>
        <v>199.08682564102565</v>
      </c>
      <c r="H6" s="58">
        <f>'1.BCR ref 2.2 mil. ron'!O4/1000</f>
        <v>199.08682564102565</v>
      </c>
      <c r="I6" s="58">
        <f>'1.BCR ref 2.2 mil. ron'!P4/1000</f>
        <v>199.08682564102565</v>
      </c>
      <c r="J6" s="58">
        <f>'1.BCR ref 2.2 mil. ron'!Q4/1000</f>
        <v>199.08682564102565</v>
      </c>
      <c r="K6" s="58">
        <f>'1.BCR ref 2.2 mil. ron'!R4/1000</f>
        <v>199.08682564102565</v>
      </c>
      <c r="L6" s="58">
        <f>'1.BCR ref 2.2 mil. ron'!S4/1000</f>
        <v>199.08682564102565</v>
      </c>
      <c r="M6" s="58">
        <f>'1.BCR ref 2.2 mil. ron'!T4/1000</f>
        <v>82.952844017094009</v>
      </c>
      <c r="N6" s="58"/>
      <c r="O6" s="58"/>
      <c r="P6" s="58"/>
      <c r="Q6" s="58"/>
      <c r="R6" s="58"/>
      <c r="S6" s="58"/>
      <c r="T6" s="58"/>
      <c r="U6" s="58"/>
      <c r="W6" s="202">
        <f>SUM(H5:M5)</f>
        <v>0</v>
      </c>
    </row>
    <row r="7" spans="1:23" s="56" customFormat="1">
      <c r="B7" s="56" t="s">
        <v>20</v>
      </c>
      <c r="D7" s="58"/>
      <c r="E7" s="58"/>
      <c r="F7" s="58"/>
      <c r="G7" s="58">
        <f>'1.BCR ref 2.2 mil. ron'!L5/1000</f>
        <v>112.57829091798277</v>
      </c>
      <c r="H7" s="58">
        <f>'1.BCR ref 2.2 mil. ron'!O5/1000</f>
        <v>70.335587404336323</v>
      </c>
      <c r="I7" s="58">
        <f>'1.BCR ref 2.2 mil. ron'!P5/1000</f>
        <v>55.979012426159237</v>
      </c>
      <c r="J7" s="58">
        <f>'1.BCR ref 2.2 mil. ron'!Q5/1000</f>
        <v>41.829192803203419</v>
      </c>
      <c r="K7" s="58">
        <f>'1.BCR ref 2.2 mil. ron'!R5/1000</f>
        <v>27.679373180247605</v>
      </c>
      <c r="L7" s="58">
        <f>'1.BCR ref 2.2 mil. ron'!S5/1000</f>
        <v>13.581242396097092</v>
      </c>
      <c r="M7" s="58">
        <f>'1.BCR ref 2.2 mil. ron'!T5/1000</f>
        <v>1.4569791438248025</v>
      </c>
      <c r="N7" s="58"/>
      <c r="O7" s="58"/>
      <c r="P7" s="58"/>
      <c r="Q7" s="58"/>
      <c r="R7" s="58"/>
      <c r="S7" s="58"/>
      <c r="T7" s="58"/>
      <c r="U7" s="58"/>
      <c r="W7" s="202"/>
    </row>
    <row r="8" spans="1:23" s="56" customFormat="1">
      <c r="B8" s="56" t="s">
        <v>57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W8" s="202"/>
    </row>
    <row r="9" spans="1:23" s="56" customFormat="1"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W9" s="202"/>
    </row>
    <row r="10" spans="1:23" s="173" customFormat="1">
      <c r="A10" s="173">
        <v>2</v>
      </c>
      <c r="B10" s="170" t="s">
        <v>78</v>
      </c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W10" s="203"/>
    </row>
    <row r="11" spans="1:23" s="173" customFormat="1">
      <c r="B11" s="173" t="s">
        <v>58</v>
      </c>
      <c r="D11" s="172"/>
      <c r="E11" s="172"/>
      <c r="F11" s="172"/>
      <c r="G11" s="172"/>
      <c r="H11" s="172">
        <f>'3.samtid 553.967,97 EURO'!V11/1000</f>
        <v>144.98799585347371</v>
      </c>
      <c r="I11" s="172">
        <f>'3.samtid 553.967,97 EURO'!W11/1000</f>
        <v>144.98799585347371</v>
      </c>
      <c r="J11" s="172">
        <f>'3.samtid 553.967,97 EURO'!X11/1000</f>
        <v>144.98799585347371</v>
      </c>
      <c r="K11" s="172">
        <f>'3.samtid 553.967,97 EURO'!Y11/1000</f>
        <v>144.98799585347371</v>
      </c>
      <c r="L11" s="172">
        <f>'3.samtid 553.967,97 EURO'!Z11/1000</f>
        <v>144.98799585347371</v>
      </c>
      <c r="M11" s="172">
        <f>'3.samtid 553.967,97 EURO'!AA11/1000</f>
        <v>144.98799585347371</v>
      </c>
      <c r="N11" s="172">
        <f>'3.samtid 553.967,97 EURO'!AB11/1000</f>
        <v>144.98799585347371</v>
      </c>
      <c r="O11" s="172">
        <f>'3.samtid 553.967,97 EURO'!AC11/1000</f>
        <v>72.493997926736853</v>
      </c>
      <c r="P11" s="172"/>
      <c r="Q11" s="172"/>
      <c r="R11" s="172"/>
      <c r="S11" s="172"/>
      <c r="T11" s="172"/>
      <c r="U11" s="172"/>
      <c r="W11" s="203">
        <f>SUM(H11:V11)</f>
        <v>1087.4099689010527</v>
      </c>
    </row>
    <row r="12" spans="1:23" s="173" customFormat="1">
      <c r="B12" s="173" t="s">
        <v>20</v>
      </c>
      <c r="D12" s="172"/>
      <c r="E12" s="172"/>
      <c r="F12" s="172"/>
      <c r="G12" s="172"/>
      <c r="H12" s="172">
        <f>'3.samtid 553.967,97 EURO'!V12/1000</f>
        <v>53.424052420303141</v>
      </c>
      <c r="I12" s="172">
        <f>'3.samtid 553.967,97 EURO'!W12/1000</f>
        <v>45.922937347781023</v>
      </c>
      <c r="J12" s="172">
        <f>'3.samtid 553.967,97 EURO'!X12/1000</f>
        <v>38.57285144687576</v>
      </c>
      <c r="K12" s="172">
        <f>'3.samtid 553.967,97 EURO'!Y12/1000</f>
        <v>31.222765545970489</v>
      </c>
      <c r="L12" s="172">
        <f>'3.samtid 553.967,97 EURO'!Z12/1000</f>
        <v>23.943159930096805</v>
      </c>
      <c r="M12" s="172">
        <f>'3.samtid 553.967,97 EURO'!AA12/1000</f>
        <v>16.522593744159956</v>
      </c>
      <c r="N12" s="172">
        <f>'3.samtid 553.967,97 EURO'!AB12/1000</f>
        <v>9.172507843254694</v>
      </c>
      <c r="O12" s="172">
        <f>'3.samtid 553.967,97 EURO'!AC12/1000</f>
        <v>1.8224202367662945</v>
      </c>
      <c r="P12" s="172"/>
      <c r="Q12" s="172"/>
      <c r="R12" s="172"/>
      <c r="S12" s="172"/>
      <c r="T12" s="172"/>
      <c r="U12" s="172"/>
      <c r="W12" s="203"/>
    </row>
    <row r="13" spans="1:23" s="173" customFormat="1">
      <c r="B13" s="173" t="s">
        <v>57</v>
      </c>
      <c r="D13" s="172"/>
      <c r="E13" s="172"/>
      <c r="F13" s="172"/>
      <c r="G13" s="172"/>
      <c r="H13" s="172">
        <f>'3.samtid 553.967,97 EURO'!V13/1000</f>
        <v>0</v>
      </c>
      <c r="I13" s="172">
        <f>'3.samtid 553.967,97 EURO'!W13/1000</f>
        <v>0</v>
      </c>
      <c r="J13" s="172">
        <f>'3.samtid 553.967,97 EURO'!X13/1000</f>
        <v>0</v>
      </c>
      <c r="K13" s="172">
        <f>'3.samtid 553.967,97 EURO'!Y13/1000</f>
        <v>0</v>
      </c>
      <c r="L13" s="172">
        <f>'3.samtid 553.967,97 EURO'!Z13/1000</f>
        <v>0</v>
      </c>
      <c r="M13" s="172">
        <f>'3.samtid 553.967,97 EURO'!AA13/1000</f>
        <v>0</v>
      </c>
      <c r="N13" s="172">
        <f>'3.samtid 553.967,97 EURO'!AB13/1000</f>
        <v>0</v>
      </c>
      <c r="O13" s="172">
        <f>'3.samtid 553.967,97 EURO'!AC13/1000</f>
        <v>0</v>
      </c>
      <c r="P13" s="172"/>
      <c r="Q13" s="172"/>
      <c r="R13" s="172"/>
      <c r="S13" s="172"/>
      <c r="T13" s="172"/>
      <c r="U13" s="172"/>
      <c r="W13" s="203"/>
    </row>
    <row r="14" spans="1:23" s="56" customFormat="1"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W14" s="202"/>
    </row>
    <row r="15" spans="1:23" s="56" customFormat="1">
      <c r="A15" s="56">
        <v>3</v>
      </c>
      <c r="B15" s="113" t="s">
        <v>79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W15" s="202"/>
    </row>
    <row r="16" spans="1:23" s="56" customFormat="1">
      <c r="B16" s="56" t="s">
        <v>58</v>
      </c>
      <c r="D16" s="58"/>
      <c r="E16" s="58"/>
      <c r="F16" s="58"/>
      <c r="G16" s="58">
        <f>'2.brd 3 mio euro'!S8*centralizator!$E$1/1000</f>
        <v>446.65689600000002</v>
      </c>
      <c r="H16" s="58">
        <f>'2.brd 3 mio euro'!V8*centralizator!$E$1/1000</f>
        <v>446.65689600000002</v>
      </c>
      <c r="I16" s="58">
        <f>'2.brd 3 mio euro'!W8*centralizator!$E$1/1000</f>
        <v>446.65689600000002</v>
      </c>
      <c r="J16" s="58">
        <f>'2.brd 3 mio euro'!X8*centralizator!$E$1/1000</f>
        <v>446.65689600000002</v>
      </c>
      <c r="K16" s="58">
        <f>'2.brd 3 mio euro'!Y8*centralizator!$E$1/1000</f>
        <v>223.43247897600023</v>
      </c>
      <c r="L16" s="58"/>
      <c r="M16" s="58"/>
      <c r="N16" s="58"/>
      <c r="O16" s="58"/>
      <c r="P16" s="58"/>
      <c r="Q16" s="58"/>
      <c r="R16" s="58"/>
      <c r="S16" s="58"/>
      <c r="T16" s="58"/>
      <c r="U16" s="58"/>
      <c r="W16" s="202">
        <f>SUM(G16:V16)</f>
        <v>2010.0600629760004</v>
      </c>
    </row>
    <row r="17" spans="1:23" s="56" customFormat="1">
      <c r="B17" s="56" t="s">
        <v>20</v>
      </c>
      <c r="D17" s="58"/>
      <c r="E17" s="58"/>
      <c r="F17" s="58"/>
      <c r="G17" s="58">
        <f>'2.brd 3 mio euro'!S9*centralizator!$E$1/1000</f>
        <v>177.49827521604271</v>
      </c>
      <c r="H17" s="58">
        <f>'2.brd 3 mio euro'!V9*centralizator!$E$1/1000</f>
        <v>90.827004468838425</v>
      </c>
      <c r="I17" s="58">
        <f>'2.brd 3 mio euro'!W9*centralizator!$E$1/1000</f>
        <v>61.565996432042695</v>
      </c>
      <c r="J17" s="58">
        <f>'2.brd 3 mio euro'!X9*centralizator!$E$1/1000</f>
        <v>32.58292673604268</v>
      </c>
      <c r="K17" s="58">
        <f>'2.brd 3 mio euro'!Y9*centralizator!$E$1/1000</f>
        <v>4.568415263402672</v>
      </c>
      <c r="L17" s="58"/>
      <c r="M17" s="58"/>
      <c r="N17" s="58"/>
      <c r="O17" s="58"/>
      <c r="P17" s="58"/>
      <c r="Q17" s="58"/>
      <c r="R17" s="58"/>
      <c r="S17" s="58"/>
      <c r="T17" s="58"/>
      <c r="U17" s="58"/>
      <c r="W17" s="202"/>
    </row>
    <row r="18" spans="1:23" s="56" customFormat="1">
      <c r="B18" s="56" t="s">
        <v>57</v>
      </c>
      <c r="D18" s="58"/>
      <c r="E18" s="58"/>
      <c r="F18" s="58"/>
      <c r="G18" s="58">
        <f>'2.brd 3 mio euro'!S10*centralizator!$E$1/1000</f>
        <v>0</v>
      </c>
      <c r="H18" s="58">
        <f>'2.brd 3 mio euro'!V10*centralizator!$E$1/1000</f>
        <v>0</v>
      </c>
      <c r="I18" s="58">
        <f>'2.brd 3 mio euro'!W10*centralizator!$E$1/1000</f>
        <v>0</v>
      </c>
      <c r="J18" s="58">
        <f>'2.brd 3 mio euro'!X10*centralizator!$E$1/1000</f>
        <v>0</v>
      </c>
      <c r="K18" s="58">
        <f>'2.brd 3 mio euro'!Y10*centralizator!$E$1/1000</f>
        <v>0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W18" s="202"/>
    </row>
    <row r="19" spans="1:23" s="56" customFormat="1"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W19" s="202"/>
    </row>
    <row r="20" spans="1:23" s="56" customFormat="1">
      <c r="A20" s="56">
        <v>4</v>
      </c>
      <c r="B20" s="113" t="s">
        <v>93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W20" s="202"/>
    </row>
    <row r="21" spans="1:23" s="56" customFormat="1">
      <c r="B21" s="56" t="s">
        <v>58</v>
      </c>
      <c r="D21" s="58"/>
      <c r="E21" s="58"/>
      <c r="F21" s="58"/>
      <c r="G21" s="58">
        <f>'4.garantie bancpost'!O8/1000</f>
        <v>1888.8020399999998</v>
      </c>
      <c r="H21" s="58">
        <f>'4.garantie bancpost'!R8/1000</f>
        <v>1888.8020399999998</v>
      </c>
      <c r="I21" s="58">
        <f>'4.garantie bancpost'!S8/1000</f>
        <v>944.39902000000018</v>
      </c>
      <c r="J21" s="58">
        <f>'4.garantie bancpost'!T8/1000</f>
        <v>0</v>
      </c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W21" s="202">
        <f>SUM(G21:V21)</f>
        <v>4722.0030999999999</v>
      </c>
    </row>
    <row r="22" spans="1:23" s="56" customFormat="1">
      <c r="B22" s="56" t="s">
        <v>20</v>
      </c>
      <c r="D22" s="58"/>
      <c r="E22" s="58"/>
      <c r="F22" s="58"/>
      <c r="G22" s="58">
        <f>'4.garantie bancpost'!O9/1000</f>
        <v>620.40964685100585</v>
      </c>
      <c r="H22" s="58">
        <f>'4.garantie bancpost'!R9/1000</f>
        <v>160.2482386316118</v>
      </c>
      <c r="I22" s="58">
        <f>'4.garantie bancpost'!S9/1000</f>
        <v>22.161244379689236</v>
      </c>
      <c r="J22" s="58">
        <f>'4.garantie bancpost'!T9/1000</f>
        <v>0</v>
      </c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W22" s="202"/>
    </row>
    <row r="23" spans="1:23" s="56" customFormat="1"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W23" s="202"/>
    </row>
    <row r="24" spans="1:23" s="56" customFormat="1">
      <c r="A24" s="56">
        <v>5</v>
      </c>
      <c r="B24" s="113" t="s">
        <v>139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W24" s="202"/>
    </row>
    <row r="25" spans="1:23" s="56" customFormat="1">
      <c r="B25" s="56" t="s">
        <v>58</v>
      </c>
      <c r="D25" s="58"/>
      <c r="E25" s="58"/>
      <c r="F25" s="58"/>
      <c r="G25" s="58">
        <f>'5.credit refinan cec 10.5mil'!Q6/1000</f>
        <v>866.5377225531912</v>
      </c>
      <c r="H25" s="58">
        <f>'5.credit refinan cec 10.5mil'!T6/1000</f>
        <v>866.5377225531912</v>
      </c>
      <c r="I25" s="58">
        <f>'5.credit refinan cec 10.5mil'!U6/1000</f>
        <v>866.5377225531912</v>
      </c>
      <c r="J25" s="58">
        <f>'5.credit refinan cec 10.5mil'!V6/1000</f>
        <v>866.5377225531912</v>
      </c>
      <c r="K25" s="58">
        <f>'5.credit refinan cec 10.5mil'!W6/1000</f>
        <v>866.5377225531912</v>
      </c>
      <c r="L25" s="58">
        <f>'5.credit refinan cec 10.5mil'!X6/1000</f>
        <v>866.5377225531912</v>
      </c>
      <c r="M25" s="58">
        <f>'5.credit refinan cec 10.5mil'!Y6/1000</f>
        <v>866.5377225531912</v>
      </c>
      <c r="N25" s="58">
        <f>'5.credit refinan cec 10.5mil'!Z6/1000</f>
        <v>649.90329191489354</v>
      </c>
      <c r="O25" s="58"/>
      <c r="P25" s="58"/>
      <c r="Q25" s="58"/>
      <c r="R25" s="58"/>
      <c r="S25" s="58"/>
      <c r="T25" s="58"/>
      <c r="U25" s="58"/>
      <c r="W25" s="202">
        <f>SUM(G25:V25)</f>
        <v>6715.6673497872325</v>
      </c>
    </row>
    <row r="26" spans="1:23" s="56" customFormat="1">
      <c r="B26" s="56" t="s">
        <v>20</v>
      </c>
      <c r="D26" s="58"/>
      <c r="E26" s="58"/>
      <c r="F26" s="58"/>
      <c r="G26" s="58">
        <f>'5.credit refinan cec 10.5mil'!Q7/1000</f>
        <v>543.55600568501507</v>
      </c>
      <c r="H26" s="58">
        <f>'5.credit refinan cec 10.5mil'!T7/1000</f>
        <v>369.0858563966176</v>
      </c>
      <c r="I26" s="58">
        <f>'5.credit refinan cec 10.5mil'!U7/1000</f>
        <v>309.50416682339761</v>
      </c>
      <c r="J26" s="58">
        <f>'5.credit refinan cec 10.5mil'!V7/1000</f>
        <v>250.99120710799323</v>
      </c>
      <c r="K26" s="58">
        <f>'5.credit refinan cec 10.5mil'!W7/1000</f>
        <v>192.47824739258888</v>
      </c>
      <c r="L26" s="58">
        <f>'5.credit refinan cec 10.5mil'!X7/1000</f>
        <v>134.39277962031076</v>
      </c>
      <c r="M26" s="58">
        <f>'5.credit refinan cec 10.5mil'!Y7/1000</f>
        <v>75.452327961780298</v>
      </c>
      <c r="N26" s="58">
        <f>'5.credit refinan cec 10.5mil'!Z7/1000</f>
        <v>18.168407582864351</v>
      </c>
      <c r="O26" s="58"/>
      <c r="P26" s="58"/>
      <c r="Q26" s="58"/>
      <c r="R26" s="58"/>
      <c r="S26" s="58"/>
      <c r="T26" s="58"/>
      <c r="U26" s="58"/>
      <c r="W26" s="202"/>
    </row>
    <row r="27" spans="1:23" s="56" customFormat="1">
      <c r="B27" s="56" t="s">
        <v>57</v>
      </c>
      <c r="D27" s="58"/>
      <c r="E27" s="58"/>
      <c r="F27" s="58"/>
      <c r="G27" s="58">
        <f>'5.credit refinan cec 10.5mil'!Q8/1000</f>
        <v>0</v>
      </c>
      <c r="H27" s="58">
        <f>'5.credit refinan cec 10.5mil'!T8/1000</f>
        <v>0</v>
      </c>
      <c r="I27" s="58">
        <f>'5.credit refinan cec 10.5mil'!U8/1000</f>
        <v>0</v>
      </c>
      <c r="J27" s="58">
        <f>'5.credit refinan cec 10.5mil'!V8/1000</f>
        <v>0</v>
      </c>
      <c r="K27" s="58">
        <f>'5.credit refinan cec 10.5mil'!W8/1000</f>
        <v>0</v>
      </c>
      <c r="L27" s="58">
        <f>'5.credit refinan cec 10.5mil'!X8/1000</f>
        <v>0</v>
      </c>
      <c r="M27" s="58">
        <f>'5.credit refinan cec 10.5mil'!Y8/1000</f>
        <v>0</v>
      </c>
      <c r="N27" s="58">
        <f>'5.credit refinan cec 10.5mil'!Z8/1000</f>
        <v>0</v>
      </c>
      <c r="O27" s="58">
        <f>'5.credit refinan cec 10.5mil'!AA8/1000</f>
        <v>0</v>
      </c>
      <c r="P27" s="58">
        <f>'5.credit refinan cec 10.5mil'!AB8/1000</f>
        <v>0</v>
      </c>
      <c r="Q27" s="58"/>
      <c r="R27" s="58"/>
      <c r="S27" s="58"/>
      <c r="T27" s="58"/>
      <c r="U27" s="58"/>
      <c r="W27" s="202"/>
    </row>
    <row r="28" spans="1:23" s="56" customFormat="1"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W28" s="202"/>
    </row>
    <row r="29" spans="1:23" s="173" customFormat="1">
      <c r="A29" s="173">
        <v>6</v>
      </c>
      <c r="B29" s="170" t="s">
        <v>164</v>
      </c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W29" s="203"/>
    </row>
    <row r="30" spans="1:23" s="173" customFormat="1">
      <c r="B30" s="173" t="s">
        <v>58</v>
      </c>
      <c r="D30" s="172"/>
      <c r="E30" s="172"/>
      <c r="F30" s="172"/>
      <c r="G30" s="172"/>
      <c r="H30" s="172">
        <f>'6.bcr 11 mil'!O4/1000</f>
        <v>1158.5668800000001</v>
      </c>
      <c r="I30" s="172">
        <f>'6.bcr 11 mil'!P4/1000</f>
        <v>1158.5668800000001</v>
      </c>
      <c r="J30" s="172">
        <f>'6.bcr 11 mil'!Q4/1000</f>
        <v>1158.5668800000001</v>
      </c>
      <c r="K30" s="172">
        <f>'6.bcr 11 mil'!R4/1000</f>
        <v>1158.5668800000001</v>
      </c>
      <c r="L30" s="172">
        <f>'6.bcr 11 mil'!S4/1000</f>
        <v>1158.5668800000001</v>
      </c>
      <c r="M30" s="172">
        <f>'6.bcr 11 mil'!T4/1000</f>
        <v>1092.7670000000001</v>
      </c>
      <c r="N30" s="172">
        <f>'6.bcr 11 mil'!U4/1000</f>
        <v>961.16724000000011</v>
      </c>
      <c r="O30" s="172">
        <f>'6.bcr 11 mil'!V4/1000</f>
        <v>640.77836000000013</v>
      </c>
      <c r="P30" s="172"/>
      <c r="Q30" s="172"/>
      <c r="R30" s="172"/>
      <c r="S30" s="172"/>
      <c r="T30" s="172"/>
      <c r="U30" s="172"/>
      <c r="W30" s="203">
        <f>SUM(H30:V30)</f>
        <v>8487.5470000000005</v>
      </c>
    </row>
    <row r="31" spans="1:23" s="173" customFormat="1">
      <c r="B31" s="173" t="s">
        <v>20</v>
      </c>
      <c r="D31" s="172"/>
      <c r="E31" s="172"/>
      <c r="F31" s="172"/>
      <c r="G31" s="172"/>
      <c r="H31" s="172">
        <f>'6.bcr 11 mil'!O5/1000</f>
        <v>567.65183669176076</v>
      </c>
      <c r="I31" s="172">
        <f>'6.bcr 11 mil'!P5/1000</f>
        <v>482.73179229306345</v>
      </c>
      <c r="J31" s="172">
        <f>'6.bcr 11 mil'!Q5/1000</f>
        <v>399.44853394839663</v>
      </c>
      <c r="K31" s="172">
        <f>'6.bcr 11 mil'!R5/1000</f>
        <v>316.1652756037297</v>
      </c>
      <c r="L31" s="172">
        <f>'6.bcr 11 mil'!S5/1000</f>
        <v>233.60611007096006</v>
      </c>
      <c r="M31" s="172">
        <f>'6.bcr 11 mil'!T5/1000</f>
        <v>150.19486927170709</v>
      </c>
      <c r="N31" s="172">
        <f>'6.bcr 11 mil'!U5/1000</f>
        <v>77.580042484787626</v>
      </c>
      <c r="O31" s="172">
        <f>'6.bcr 11 mil'!V5/1000</f>
        <v>13.313861391588041</v>
      </c>
      <c r="P31" s="172"/>
      <c r="Q31" s="172"/>
      <c r="R31" s="172"/>
      <c r="S31" s="172"/>
      <c r="T31" s="172"/>
      <c r="U31" s="172"/>
      <c r="W31" s="203"/>
    </row>
    <row r="32" spans="1:23" s="173" customFormat="1">
      <c r="B32" s="173" t="s">
        <v>57</v>
      </c>
      <c r="D32" s="172"/>
      <c r="E32" s="172"/>
      <c r="F32" s="172"/>
      <c r="G32" s="172"/>
      <c r="H32" s="172">
        <f>'6.bcr 11 mil'!O6/1000</f>
        <v>0</v>
      </c>
      <c r="I32" s="172">
        <f>'6.bcr 11 mil'!P6/1000</f>
        <v>0</v>
      </c>
      <c r="J32" s="172">
        <f>'6.bcr 11 mil'!Q6/1000</f>
        <v>0</v>
      </c>
      <c r="K32" s="172">
        <f>'6.bcr 11 mil'!R6/1000</f>
        <v>0</v>
      </c>
      <c r="L32" s="172">
        <f>'6.bcr 11 mil'!S6/1000</f>
        <v>0</v>
      </c>
      <c r="M32" s="172">
        <f>'6.bcr 11 mil'!T6/1000</f>
        <v>0</v>
      </c>
      <c r="N32" s="172">
        <f>'6.bcr 11 mil'!U6/1000</f>
        <v>0</v>
      </c>
      <c r="O32" s="172">
        <f>'6.bcr 11 mil'!V6/1000</f>
        <v>0</v>
      </c>
      <c r="P32" s="172"/>
      <c r="Q32" s="172"/>
      <c r="R32" s="172"/>
      <c r="S32" s="172"/>
      <c r="T32" s="172"/>
      <c r="U32" s="172"/>
      <c r="W32" s="203"/>
    </row>
    <row r="33" spans="1:23" s="56" customFormat="1"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W33" s="202"/>
    </row>
    <row r="34" spans="1:23" s="56" customFormat="1">
      <c r="A34" s="56">
        <v>7</v>
      </c>
      <c r="B34" s="113" t="s">
        <v>184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W34" s="202"/>
    </row>
    <row r="35" spans="1:23" s="56" customFormat="1">
      <c r="B35" s="56" t="s">
        <v>58</v>
      </c>
      <c r="D35" s="58"/>
      <c r="E35" s="58"/>
      <c r="F35" s="58"/>
      <c r="G35" s="58">
        <f>'7.CREDIT UNICREDIT'!N6/1000</f>
        <v>0</v>
      </c>
      <c r="H35" s="58">
        <f>'7.CREDIT UNICREDIT'!Q6/1000</f>
        <v>1039.1867199999999</v>
      </c>
      <c r="I35" s="58">
        <f>'7.CREDIT UNICREDIT'!R6/1000</f>
        <v>1039.1867199999999</v>
      </c>
      <c r="J35" s="58">
        <f>'7.CREDIT UNICREDIT'!S6/1000</f>
        <v>1039.1867199999999</v>
      </c>
      <c r="K35" s="58">
        <f>'7.CREDIT UNICREDIT'!T6/1000</f>
        <v>1039.1867199999999</v>
      </c>
      <c r="L35" s="58">
        <f>'7.CREDIT UNICREDIT'!U6/1000</f>
        <v>1039.1867199999999</v>
      </c>
      <c r="M35" s="58">
        <f>'7.CREDIT UNICREDIT'!V6/1000</f>
        <v>1039.1867199999999</v>
      </c>
      <c r="N35" s="58">
        <f>'7.CREDIT UNICREDIT'!W6/1000</f>
        <v>1039.1867199999999</v>
      </c>
      <c r="O35" s="58">
        <f>'7.CREDIT UNICREDIT'!X6/1000</f>
        <v>1039.1867199999999</v>
      </c>
      <c r="P35" s="58">
        <f>'7.CREDIT UNICREDIT'!Y6/1000</f>
        <v>1039.1867199999999</v>
      </c>
      <c r="Q35" s="58">
        <f>'7.CREDIT UNICREDIT'!Z6/1000</f>
        <v>519.59335999999996</v>
      </c>
      <c r="R35" s="58"/>
      <c r="S35" s="58"/>
      <c r="T35" s="58"/>
      <c r="U35" s="58"/>
      <c r="W35" s="202">
        <f>SUM(G35:V35)</f>
        <v>9872.2738399999998</v>
      </c>
    </row>
    <row r="36" spans="1:23" s="56" customFormat="1">
      <c r="B36" s="56" t="s">
        <v>20</v>
      </c>
      <c r="D36" s="58"/>
      <c r="E36" s="58"/>
      <c r="F36" s="58"/>
      <c r="G36" s="58">
        <f>'7.CREDIT UNICREDIT'!N7/1000</f>
        <v>134.03343715666665</v>
      </c>
      <c r="H36" s="58">
        <f>'7.CREDIT UNICREDIT'!Q7/1000</f>
        <v>714.48176392185258</v>
      </c>
      <c r="I36" s="58">
        <f>'7.CREDIT UNICREDIT'!R7/1000</f>
        <v>632.89935203733432</v>
      </c>
      <c r="J36" s="58">
        <f>'7.CREDIT UNICREDIT'!S7/1000</f>
        <v>553.35105193622326</v>
      </c>
      <c r="K36" s="58">
        <f>'7.CREDIT UNICREDIT'!T7/1000</f>
        <v>473.80275183511179</v>
      </c>
      <c r="L36" s="58">
        <f>'7.CREDIT UNICREDIT'!U7/1000</f>
        <v>395.4168013245191</v>
      </c>
      <c r="M36" s="58">
        <f>'7.CREDIT UNICREDIT'!V7/1000</f>
        <v>314.70615163288926</v>
      </c>
      <c r="N36" s="58">
        <f>'7.CREDIT UNICREDIT'!W7/1000</f>
        <v>235.15785153177799</v>
      </c>
      <c r="O36" s="58">
        <f>'7.CREDIT UNICREDIT'!X7/1000</f>
        <v>155.6095514306667</v>
      </c>
      <c r="P36" s="58">
        <f>'7.CREDIT UNICREDIT'!Y7/1000</f>
        <v>76.351838727185267</v>
      </c>
      <c r="Q36" s="58">
        <f>'7.CREDIT UNICREDIT'!Z7/1000</f>
        <v>8.1909322706852254</v>
      </c>
      <c r="R36" s="58"/>
      <c r="S36" s="58"/>
      <c r="T36" s="58"/>
      <c r="U36" s="58"/>
      <c r="W36" s="202"/>
    </row>
    <row r="37" spans="1:23" s="56" customFormat="1">
      <c r="B37" s="56" t="s">
        <v>57</v>
      </c>
      <c r="D37" s="58"/>
      <c r="E37" s="58"/>
      <c r="F37" s="58"/>
      <c r="G37" s="58">
        <f>'7.CREDIT UNICREDIT'!N8/1000</f>
        <v>26</v>
      </c>
      <c r="H37" s="58">
        <f>'7.CREDIT UNICREDIT'!Q8/1000</f>
        <v>0</v>
      </c>
      <c r="I37" s="58">
        <f>'7.CREDIT UNICREDIT'!R8/1000</f>
        <v>0</v>
      </c>
      <c r="J37" s="58">
        <f>'7.CREDIT UNICREDIT'!S8/1000</f>
        <v>0</v>
      </c>
      <c r="K37" s="58">
        <f>'7.CREDIT UNICREDIT'!T8/1000</f>
        <v>0</v>
      </c>
      <c r="L37" s="58">
        <f>'7.CREDIT UNICREDIT'!U8/1000</f>
        <v>0</v>
      </c>
      <c r="M37" s="58">
        <f>'7.CREDIT UNICREDIT'!V8/1000</f>
        <v>0</v>
      </c>
      <c r="N37" s="58">
        <f>'7.CREDIT UNICREDIT'!W8/1000</f>
        <v>0</v>
      </c>
      <c r="O37" s="58">
        <f>'7.CREDIT UNICREDIT'!X8/1000</f>
        <v>0</v>
      </c>
      <c r="P37" s="58">
        <f>'7.CREDIT UNICREDIT'!Y8/1000</f>
        <v>0</v>
      </c>
      <c r="Q37" s="58">
        <f>'7.CREDIT UNICREDIT'!Z8/1000</f>
        <v>0</v>
      </c>
      <c r="R37" s="58"/>
      <c r="S37" s="58"/>
      <c r="T37" s="58"/>
      <c r="U37" s="58"/>
      <c r="W37" s="202"/>
    </row>
    <row r="38" spans="1:23" s="56" customFormat="1"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W38" s="202"/>
    </row>
    <row r="39" spans="1:23" s="56" customFormat="1">
      <c r="A39" s="56">
        <v>8</v>
      </c>
      <c r="B39" s="113" t="s">
        <v>176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W39" s="202"/>
    </row>
    <row r="40" spans="1:23" s="56" customFormat="1">
      <c r="B40" s="56" t="s">
        <v>58</v>
      </c>
      <c r="D40" s="58"/>
      <c r="E40" s="58"/>
      <c r="F40" s="58"/>
      <c r="G40" s="58">
        <f>'8.garantie BT 20 MIO RON'!J3*0.5/1000</f>
        <v>0</v>
      </c>
      <c r="H40" s="58">
        <f>'8.garantie BT 20 MIO RON'!M3*0.5/1000</f>
        <v>1111.1110000000001</v>
      </c>
      <c r="I40" s="58">
        <f>'8.garantie BT 20 MIO RON'!N3*0.5/1000</f>
        <v>1111.1110000000001</v>
      </c>
      <c r="J40" s="58">
        <f>'8.garantie BT 20 MIO RON'!O3*0.5/1000</f>
        <v>1111.1110000000001</v>
      </c>
      <c r="K40" s="58">
        <f>'8.garantie BT 20 MIO RON'!P3*0.5/1000</f>
        <v>1111.1110000000001</v>
      </c>
      <c r="L40" s="58">
        <f>'8.garantie BT 20 MIO RON'!Q3*0.5/1000</f>
        <v>1111.1110000000001</v>
      </c>
      <c r="M40" s="58">
        <f>'8.garantie BT 20 MIO RON'!R3*0.5/1000</f>
        <v>1111.1110000000001</v>
      </c>
      <c r="N40" s="58">
        <f>'8.garantie BT 20 MIO RON'!S3*0.5/1000</f>
        <v>1111.1110000000001</v>
      </c>
      <c r="O40" s="58">
        <f>'8.garantie BT 20 MIO RON'!T3*0.5/1000</f>
        <v>648.149</v>
      </c>
      <c r="P40" s="58"/>
      <c r="Q40" s="58"/>
      <c r="R40" s="58"/>
      <c r="S40" s="58"/>
      <c r="T40" s="58"/>
      <c r="U40" s="58"/>
      <c r="W40" s="202">
        <f>SUM(G40:V40)</f>
        <v>8425.9259999999995</v>
      </c>
    </row>
    <row r="41" spans="1:23" s="56" customFormat="1">
      <c r="B41" s="56" t="s">
        <v>20</v>
      </c>
      <c r="D41" s="58"/>
      <c r="E41" s="58"/>
      <c r="F41" s="58"/>
      <c r="G41" s="58">
        <f>'8.garantie BT 20 MIO RON'!J4*0.5/1000</f>
        <v>58.2759</v>
      </c>
      <c r="H41" s="58">
        <f>'8.garantie BT 20 MIO RON'!M4*0.5/1000</f>
        <v>696.73304125416678</v>
      </c>
      <c r="I41" s="58">
        <f>'8.garantie BT 20 MIO RON'!N4*0.5/1000</f>
        <v>598.17749555416663</v>
      </c>
      <c r="J41" s="58">
        <f>'8.garantie BT 20 MIO RON'!O4*0.5/1000</f>
        <v>499.62194985416664</v>
      </c>
      <c r="K41" s="58">
        <f>'8.garantie BT 20 MIO RON'!P4*0.5/1000</f>
        <v>401.06640415416666</v>
      </c>
      <c r="L41" s="58">
        <f>'8.garantie BT 20 MIO RON'!Q4*0.5/1000</f>
        <v>302.51085845416668</v>
      </c>
      <c r="M41" s="58">
        <f>'8.garantie BT 20 MIO RON'!R4*0.5/1000</f>
        <v>203.95531275416667</v>
      </c>
      <c r="N41" s="58">
        <f>'8.garantie BT 20 MIO RON'!S4*0.5/1000</f>
        <v>105.39976705416665</v>
      </c>
      <c r="O41" s="58">
        <f>'8.garantie BT 20 MIO RON'!T4*0.5/1000</f>
        <v>16.083756641666668</v>
      </c>
      <c r="P41" s="58"/>
      <c r="Q41" s="58"/>
      <c r="R41" s="58"/>
      <c r="S41" s="58"/>
      <c r="T41" s="58"/>
      <c r="U41" s="58"/>
      <c r="W41" s="202"/>
    </row>
    <row r="42" spans="1:23" s="56" customFormat="1">
      <c r="B42" s="56" t="s">
        <v>57</v>
      </c>
      <c r="D42" s="58"/>
      <c r="E42" s="58"/>
      <c r="F42" s="58"/>
      <c r="G42" s="58">
        <f>'8.garantie BT 20 MIO RON'!J5*0.5/1000</f>
        <v>75</v>
      </c>
      <c r="H42" s="58">
        <f>'8.garantie BT 20 MIO RON'!M5*0.5/1000</f>
        <v>0</v>
      </c>
      <c r="I42" s="58">
        <f>'8.garantie BT 20 MIO RON'!N5*0.5/1000</f>
        <v>0</v>
      </c>
      <c r="J42" s="58">
        <f>'8.garantie BT 20 MIO RON'!O5*0.5/1000</f>
        <v>0</v>
      </c>
      <c r="K42" s="58">
        <f>'8.garantie BT 20 MIO RON'!P5*0.5/1000</f>
        <v>0</v>
      </c>
      <c r="L42" s="58">
        <f>'8.garantie BT 20 MIO RON'!Q5*0.5/1000</f>
        <v>0</v>
      </c>
      <c r="M42" s="58">
        <f>'8.garantie BT 20 MIO RON'!R5*0.5/1000</f>
        <v>0</v>
      </c>
      <c r="N42" s="58">
        <f>'8.garantie BT 20 MIO RON'!S5*0.5/1000</f>
        <v>0</v>
      </c>
      <c r="O42" s="58">
        <f>'8.garantie BT 20 MIO RON'!T5*0.5/1000</f>
        <v>0</v>
      </c>
      <c r="P42" s="58"/>
      <c r="Q42" s="58"/>
      <c r="R42" s="58"/>
      <c r="S42" s="58"/>
      <c r="T42" s="58"/>
      <c r="U42" s="58"/>
      <c r="W42" s="202"/>
    </row>
    <row r="43" spans="1:23" s="56" customFormat="1"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W43" s="202"/>
    </row>
    <row r="44" spans="1:23" s="56" customFormat="1">
      <c r="A44" s="56">
        <v>9</v>
      </c>
      <c r="B44" s="56" t="s">
        <v>221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W44" s="202"/>
    </row>
    <row r="45" spans="1:23" s="56" customFormat="1">
      <c r="B45" s="56" t="s">
        <v>58</v>
      </c>
      <c r="D45" s="58"/>
      <c r="E45" s="58"/>
      <c r="F45" s="58"/>
      <c r="G45" s="58"/>
      <c r="H45" s="58">
        <f>'9. GARANTIE RAIFF'!M6/1000</f>
        <v>494.75199999999995</v>
      </c>
      <c r="I45" s="58">
        <f>'9. GARANTIE RAIFF'!N6/1000</f>
        <v>494.75199999999995</v>
      </c>
      <c r="J45" s="58">
        <f>'9. GARANTIE RAIFF'!O6/1000</f>
        <v>494.75199999999995</v>
      </c>
      <c r="K45" s="58">
        <f>'9. GARANTIE RAIFF'!P6/1000</f>
        <v>494.75199999999995</v>
      </c>
      <c r="L45" s="58">
        <f>'9. GARANTIE RAIFF'!Q6/1000</f>
        <v>494.75199999999995</v>
      </c>
      <c r="M45" s="58">
        <f>'9. GARANTIE RAIFF'!R6/1000</f>
        <v>494.75199999999995</v>
      </c>
      <c r="N45" s="58">
        <f>'9. GARANTIE RAIFF'!S6/1000</f>
        <v>494.75199999999995</v>
      </c>
      <c r="O45" s="58">
        <f>'9. GARANTIE RAIFF'!T6/1000</f>
        <v>494.75199999999995</v>
      </c>
      <c r="P45" s="58">
        <f>'9. GARANTIE RAIFF'!U6/1000</f>
        <v>494.75199999999995</v>
      </c>
      <c r="Q45" s="58"/>
      <c r="R45" s="58"/>
      <c r="S45" s="58"/>
      <c r="T45" s="58"/>
      <c r="U45" s="58"/>
      <c r="W45" s="202"/>
    </row>
    <row r="46" spans="1:23" s="56" customFormat="1">
      <c r="B46" s="56" t="s">
        <v>20</v>
      </c>
      <c r="D46" s="58"/>
      <c r="E46" s="58"/>
      <c r="F46" s="58"/>
      <c r="G46" s="58"/>
      <c r="H46" s="58">
        <f>'9. GARANTIE RAIFF'!M7/1000</f>
        <v>296.39905164444446</v>
      </c>
      <c r="I46" s="58">
        <f>'9. GARANTIE RAIFF'!N7/1000</f>
        <v>260.95728597777781</v>
      </c>
      <c r="J46" s="58">
        <f>'9. GARANTIE RAIFF'!O7/1000</f>
        <v>226.34526064444429</v>
      </c>
      <c r="K46" s="58">
        <f>'9. GARANTIE RAIFF'!P7/1000</f>
        <v>191.73323531111083</v>
      </c>
      <c r="L46" s="58">
        <f>'9. GARANTIE RAIFF'!Q7/1000</f>
        <v>157.5874450222218</v>
      </c>
      <c r="M46" s="58">
        <f>'9. GARANTIE RAIFF'!R7/1000</f>
        <v>122.50918464444406</v>
      </c>
      <c r="N46" s="58">
        <f>'9. GARANTIE RAIFF'!S7/1000</f>
        <v>87.897159311110798</v>
      </c>
      <c r="O46" s="58">
        <f>'9. GARANTIE RAIFF'!T7/1000</f>
        <v>53.28513397777747</v>
      </c>
      <c r="P46" s="58">
        <f>'9. GARANTIE RAIFF'!U7/1000</f>
        <v>18.760033822221899</v>
      </c>
      <c r="Q46" s="58"/>
      <c r="R46" s="58"/>
      <c r="S46" s="58"/>
      <c r="T46" s="58"/>
      <c r="U46" s="58"/>
      <c r="W46" s="202"/>
    </row>
    <row r="47" spans="1:23" s="56" customFormat="1">
      <c r="B47" s="56" t="s">
        <v>57</v>
      </c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</row>
    <row r="48" spans="1:23" s="56" customFormat="1"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1:23" s="56" customFormat="1">
      <c r="A49" s="56">
        <v>10</v>
      </c>
      <c r="B49" s="56" t="s">
        <v>219</v>
      </c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1:23" s="56" customFormat="1">
      <c r="B50" s="56" t="s">
        <v>58</v>
      </c>
      <c r="D50" s="58"/>
      <c r="E50" s="58"/>
      <c r="F50" s="58"/>
      <c r="G50" s="58"/>
      <c r="H50" s="58">
        <f>'10. CREDIT NOU'!M6/1000</f>
        <v>0</v>
      </c>
      <c r="I50" s="58">
        <f>'10. CREDIT NOU'!N6/1000</f>
        <v>0</v>
      </c>
      <c r="J50" s="58">
        <f>'10. CREDIT NOU'!O6/1000</f>
        <v>1133.3333333333333</v>
      </c>
      <c r="K50" s="58">
        <f>'10. CREDIT NOU'!P6/1000</f>
        <v>1700.0000000000002</v>
      </c>
      <c r="L50" s="58">
        <f>'10. CREDIT NOU'!Q6/1000</f>
        <v>1700.0000000000002</v>
      </c>
      <c r="M50" s="58">
        <f>'10. CREDIT NOU'!R6/1000</f>
        <v>1700.0000000000002</v>
      </c>
      <c r="N50" s="58">
        <f>'10. CREDIT NOU'!S6/1000</f>
        <v>1700.0000000000002</v>
      </c>
      <c r="O50" s="58">
        <f>'10. CREDIT NOU'!T6/1000</f>
        <v>1700.0000000000002</v>
      </c>
      <c r="P50" s="58">
        <f>'10. CREDIT NOU'!U6/1000</f>
        <v>1700.0000000000002</v>
      </c>
      <c r="Q50" s="58">
        <f>'10. CREDIT NOU'!V6/1000</f>
        <v>1700.0000000000002</v>
      </c>
      <c r="R50" s="58">
        <f>'10. CREDIT NOU'!W6/1000</f>
        <v>1700.0000000000002</v>
      </c>
      <c r="S50" s="58">
        <f>'10. CREDIT NOU'!X6/1000</f>
        <v>1700.0000000000002</v>
      </c>
      <c r="T50" s="58">
        <f>'10. CREDIT NOU'!Y6/1000</f>
        <v>566.66666666666663</v>
      </c>
      <c r="U50" s="58"/>
    </row>
    <row r="51" spans="1:23" s="56" customFormat="1">
      <c r="B51" s="56" t="s">
        <v>20</v>
      </c>
      <c r="D51" s="58"/>
      <c r="E51" s="58"/>
      <c r="F51" s="58"/>
      <c r="G51" s="58"/>
      <c r="H51" s="58">
        <f>'10. CREDIT NOU'!M7/1000</f>
        <v>33.288833333333336</v>
      </c>
      <c r="I51" s="58">
        <f>'10. CREDIT NOU'!N7/1000</f>
        <v>709.80383333333339</v>
      </c>
      <c r="J51" s="58">
        <f>'10. CREDIT NOU'!O7/1000</f>
        <v>1280.9340231481485</v>
      </c>
      <c r="K51" s="58">
        <f>'10. CREDIT NOU'!P7/1000</f>
        <v>1159.2329120370377</v>
      </c>
      <c r="L51" s="58">
        <f>'10. CREDIT NOU'!Q7/1000</f>
        <v>1031.5362314814827</v>
      </c>
      <c r="M51" s="58">
        <f>'10. CREDIT NOU'!R7/1000</f>
        <v>897.9334675925943</v>
      </c>
      <c r="N51" s="58">
        <f>'10. CREDIT NOU'!S7/1000</f>
        <v>767.28374537037257</v>
      </c>
      <c r="O51" s="58">
        <f>'10. CREDIT NOU'!T7/1000</f>
        <v>636.63402314815073</v>
      </c>
      <c r="P51" s="58">
        <f>'10. CREDIT NOU'!U7/1000</f>
        <v>507.50556481481726</v>
      </c>
      <c r="Q51" s="58">
        <f>'10. CREDIT NOU'!V7/1000</f>
        <v>375.3345787037058</v>
      </c>
      <c r="R51" s="58">
        <f>'10. CREDIT NOU'!W7/1000</f>
        <v>244.68485648148359</v>
      </c>
      <c r="S51" s="58">
        <f>'10. CREDIT NOU'!X7/1000</f>
        <v>114.03513425926144</v>
      </c>
      <c r="T51" s="58">
        <f>'10. CREDIT NOU'!Y7/1000</f>
        <v>9.0380972222229392</v>
      </c>
      <c r="U51" s="58"/>
    </row>
    <row r="52" spans="1:23" s="56" customFormat="1">
      <c r="B52" s="56" t="s">
        <v>57</v>
      </c>
      <c r="D52" s="58"/>
      <c r="E52" s="58"/>
      <c r="F52" s="58"/>
      <c r="G52" s="58"/>
      <c r="H52" s="58">
        <f>'10. CREDIT NOU'!M8/1000</f>
        <v>34</v>
      </c>
      <c r="I52" s="58">
        <f>'10. CREDIT NOU'!N8/1000</f>
        <v>0</v>
      </c>
      <c r="J52" s="58">
        <f>'10. CREDIT NOU'!O8/1000</f>
        <v>0</v>
      </c>
      <c r="K52" s="58">
        <f>'10. CREDIT NOU'!P8/1000</f>
        <v>0</v>
      </c>
      <c r="L52" s="58">
        <f>'10. CREDIT NOU'!Q8/1000</f>
        <v>0</v>
      </c>
      <c r="M52" s="58">
        <f>'10. CREDIT NOU'!R8/1000</f>
        <v>0</v>
      </c>
      <c r="N52" s="58">
        <f>'10. CREDIT NOU'!S8/1000</f>
        <v>0</v>
      </c>
      <c r="O52" s="58">
        <f>'10. CREDIT NOU'!T8/1000</f>
        <v>0</v>
      </c>
      <c r="P52" s="58">
        <f>'10. CREDIT NOU'!U8/1000</f>
        <v>0</v>
      </c>
      <c r="Q52" s="58">
        <f>'10. CREDIT NOU'!V8/1000</f>
        <v>0</v>
      </c>
      <c r="R52" s="58">
        <f>'10. CREDIT NOU'!W8/1000</f>
        <v>0</v>
      </c>
      <c r="S52" s="58">
        <f>'10. CREDIT NOU'!X8/1000</f>
        <v>0</v>
      </c>
      <c r="T52" s="58">
        <f>'10. CREDIT NOU'!Y8/1000</f>
        <v>0</v>
      </c>
      <c r="U52" s="58"/>
    </row>
    <row r="53" spans="1:23" s="56" customFormat="1"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1:23" s="56" customFormat="1">
      <c r="B54" s="107" t="s">
        <v>92</v>
      </c>
      <c r="C54" s="107"/>
      <c r="D54" s="109"/>
      <c r="E54" s="109"/>
      <c r="F54" s="109"/>
      <c r="G54" s="109"/>
      <c r="H54" s="109">
        <f>SUM(H55:H57)</f>
        <v>10436.163346214955</v>
      </c>
      <c r="I54" s="109">
        <f t="shared" ref="I54:T54" si="1">SUM(I55:I57)</f>
        <v>9584.9881766524359</v>
      </c>
      <c r="J54" s="109">
        <f t="shared" si="1"/>
        <v>9917.8963710065182</v>
      </c>
      <c r="K54" s="109">
        <f t="shared" si="1"/>
        <v>9735.6110033470577</v>
      </c>
      <c r="L54" s="109">
        <f t="shared" si="1"/>
        <v>9006.8037723475463</v>
      </c>
      <c r="M54" s="109">
        <f t="shared" si="1"/>
        <v>8315.0261691693249</v>
      </c>
      <c r="N54" s="109">
        <f t="shared" si="1"/>
        <v>7401.767728946701</v>
      </c>
      <c r="O54" s="109">
        <f t="shared" si="1"/>
        <v>5472.1088247533526</v>
      </c>
      <c r="P54" s="109">
        <f t="shared" si="1"/>
        <v>3836.5561573642244</v>
      </c>
      <c r="Q54" s="109">
        <f t="shared" si="1"/>
        <v>2603.1188709743915</v>
      </c>
      <c r="R54" s="109">
        <f t="shared" si="1"/>
        <v>1944.6848564814838</v>
      </c>
      <c r="S54" s="109">
        <f t="shared" si="1"/>
        <v>1814.0351342592617</v>
      </c>
      <c r="T54" s="109">
        <f t="shared" si="1"/>
        <v>575.7047638888896</v>
      </c>
      <c r="U54" s="109"/>
    </row>
    <row r="55" spans="1:23" s="56" customFormat="1">
      <c r="B55" s="107" t="s">
        <v>58</v>
      </c>
      <c r="C55" s="107"/>
      <c r="D55" s="109"/>
      <c r="E55" s="109"/>
      <c r="F55" s="109"/>
      <c r="G55" s="109">
        <f>G6+G11+G16+G21+G25+G30+G35+G40</f>
        <v>3401.0834841942165</v>
      </c>
      <c r="H55" s="109">
        <f>H6+H11+H16+H21+H25+H30+H35+H40+H50+H45</f>
        <v>7349.6880800476902</v>
      </c>
      <c r="I55" s="109">
        <f t="shared" ref="I55:T55" si="2">I6+I11+I16+I21+I25+I30+I35+I40+I50+I45</f>
        <v>6405.2850600476904</v>
      </c>
      <c r="J55" s="109">
        <f t="shared" si="2"/>
        <v>6594.2193733810236</v>
      </c>
      <c r="K55" s="109">
        <f t="shared" si="2"/>
        <v>6937.6616230236905</v>
      </c>
      <c r="L55" s="109">
        <f t="shared" si="2"/>
        <v>6714.2291440476911</v>
      </c>
      <c r="M55" s="109">
        <f t="shared" si="2"/>
        <v>6532.2952824237582</v>
      </c>
      <c r="N55" s="109">
        <f t="shared" si="2"/>
        <v>6101.1082477683667</v>
      </c>
      <c r="O55" s="109">
        <f t="shared" si="2"/>
        <v>4595.3600779267363</v>
      </c>
      <c r="P55" s="109">
        <f t="shared" si="2"/>
        <v>3233.9387200000001</v>
      </c>
      <c r="Q55" s="109">
        <f t="shared" si="2"/>
        <v>2219.5933600000003</v>
      </c>
      <c r="R55" s="109">
        <f t="shared" si="2"/>
        <v>1700.0000000000002</v>
      </c>
      <c r="S55" s="109">
        <f t="shared" si="2"/>
        <v>1700.0000000000002</v>
      </c>
      <c r="T55" s="109">
        <f t="shared" si="2"/>
        <v>566.66666666666663</v>
      </c>
      <c r="U55" s="109"/>
      <c r="W55" s="109">
        <f>SUM(D55:V55)</f>
        <v>64051.129119527519</v>
      </c>
    </row>
    <row r="56" spans="1:23" s="56" customFormat="1">
      <c r="B56" s="107" t="s">
        <v>20</v>
      </c>
      <c r="C56" s="107"/>
      <c r="D56" s="109"/>
      <c r="E56" s="109"/>
      <c r="F56" s="109"/>
      <c r="G56" s="109">
        <f>G7+G12+G17+G22+G26+G31+G36+G41</f>
        <v>1646.3515558267131</v>
      </c>
      <c r="H56" s="109">
        <f t="shared" ref="H56:T57" si="3">H7+H12+H17+H22+H26+H31+H36+H41+H51+H46</f>
        <v>3052.4752661672655</v>
      </c>
      <c r="I56" s="109">
        <f t="shared" si="3"/>
        <v>3179.703116604745</v>
      </c>
      <c r="J56" s="109">
        <f t="shared" si="3"/>
        <v>3323.6769976254946</v>
      </c>
      <c r="K56" s="109">
        <f t="shared" si="3"/>
        <v>2797.9493803233668</v>
      </c>
      <c r="L56" s="109">
        <f t="shared" si="3"/>
        <v>2292.5746282998552</v>
      </c>
      <c r="M56" s="109">
        <f t="shared" si="3"/>
        <v>1782.7308867455665</v>
      </c>
      <c r="N56" s="109">
        <f t="shared" si="3"/>
        <v>1300.6594811783345</v>
      </c>
      <c r="O56" s="109">
        <f t="shared" si="3"/>
        <v>876.74874682661596</v>
      </c>
      <c r="P56" s="109">
        <f t="shared" si="3"/>
        <v>602.61743736422443</v>
      </c>
      <c r="Q56" s="109">
        <f t="shared" si="3"/>
        <v>383.52551097439101</v>
      </c>
      <c r="R56" s="109">
        <f t="shared" si="3"/>
        <v>244.68485648148359</v>
      </c>
      <c r="S56" s="109">
        <f t="shared" si="3"/>
        <v>114.03513425926144</v>
      </c>
      <c r="T56" s="109">
        <f t="shared" si="3"/>
        <v>9.0380972222229392</v>
      </c>
      <c r="U56" s="109"/>
    </row>
    <row r="57" spans="1:23" s="56" customFormat="1">
      <c r="B57" s="107" t="s">
        <v>57</v>
      </c>
      <c r="C57" s="107"/>
      <c r="D57" s="109"/>
      <c r="E57" s="109"/>
      <c r="F57" s="109"/>
      <c r="G57" s="109">
        <f>G8+G13+G18+G23+G27+G32+G37+G42</f>
        <v>101</v>
      </c>
      <c r="H57" s="109">
        <f t="shared" si="3"/>
        <v>34</v>
      </c>
      <c r="I57" s="109">
        <f t="shared" si="3"/>
        <v>0</v>
      </c>
      <c r="J57" s="109">
        <f t="shared" si="3"/>
        <v>0</v>
      </c>
      <c r="K57" s="109">
        <f t="shared" si="3"/>
        <v>0</v>
      </c>
      <c r="L57" s="109">
        <f t="shared" si="3"/>
        <v>0</v>
      </c>
      <c r="M57" s="109">
        <f t="shared" si="3"/>
        <v>0</v>
      </c>
      <c r="N57" s="109">
        <f t="shared" si="3"/>
        <v>0</v>
      </c>
      <c r="O57" s="109">
        <f t="shared" si="3"/>
        <v>0</v>
      </c>
      <c r="P57" s="109">
        <f t="shared" si="3"/>
        <v>0</v>
      </c>
      <c r="Q57" s="109">
        <f t="shared" si="3"/>
        <v>0</v>
      </c>
      <c r="R57" s="109">
        <f t="shared" si="3"/>
        <v>0</v>
      </c>
      <c r="S57" s="109">
        <f t="shared" si="3"/>
        <v>0</v>
      </c>
      <c r="T57" s="109">
        <f t="shared" si="3"/>
        <v>0</v>
      </c>
      <c r="U57" s="109"/>
    </row>
    <row r="58" spans="1:23" s="56" customFormat="1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S58" s="107"/>
      <c r="T58" s="107"/>
      <c r="U58" s="107"/>
    </row>
    <row r="59" spans="1:23" s="56" customFormat="1"/>
    <row r="60" spans="1:23" s="56" customFormat="1">
      <c r="G60" s="202">
        <f>SUM(G55:G59)</f>
        <v>5148.4350400209296</v>
      </c>
      <c r="H60" s="378">
        <f>SUM(H55:H59)</f>
        <v>10436.163346214955</v>
      </c>
      <c r="I60" s="378">
        <f t="shared" ref="I60:T60" si="4">SUM(I55:I59)</f>
        <v>9584.9881766524359</v>
      </c>
      <c r="J60" s="378">
        <f t="shared" si="4"/>
        <v>9917.8963710065182</v>
      </c>
      <c r="K60" s="378">
        <f t="shared" si="4"/>
        <v>9735.6110033470577</v>
      </c>
      <c r="L60" s="378">
        <f t="shared" si="4"/>
        <v>9006.8037723475463</v>
      </c>
      <c r="M60" s="378">
        <f t="shared" si="4"/>
        <v>8315.0261691693249</v>
      </c>
      <c r="N60" s="378">
        <f t="shared" si="4"/>
        <v>7401.767728946701</v>
      </c>
      <c r="O60" s="378">
        <f t="shared" si="4"/>
        <v>5472.1088247533526</v>
      </c>
      <c r="P60" s="378">
        <f t="shared" si="4"/>
        <v>3836.5561573642244</v>
      </c>
      <c r="Q60" s="378">
        <f t="shared" si="4"/>
        <v>2603.1188709743915</v>
      </c>
      <c r="R60" s="378">
        <f t="shared" si="4"/>
        <v>1944.6848564814838</v>
      </c>
      <c r="S60" s="378">
        <f t="shared" si="4"/>
        <v>1814.0351342592617</v>
      </c>
      <c r="T60" s="378">
        <f t="shared" si="4"/>
        <v>575.7047638888896</v>
      </c>
      <c r="W60" s="56">
        <f>SUM(H60:T60)</f>
        <v>80644.465175406134</v>
      </c>
    </row>
    <row r="61" spans="1:23" s="56" customFormat="1"/>
    <row r="62" spans="1:23" s="56" customFormat="1"/>
    <row r="63" spans="1:23" s="56" customFormat="1">
      <c r="I63" s="113"/>
    </row>
    <row r="64" spans="1:23" s="56" customFormat="1">
      <c r="G64" s="202"/>
      <c r="H64" s="202"/>
      <c r="I64" s="314"/>
      <c r="J64" s="202"/>
      <c r="K64" s="202"/>
      <c r="L64" s="202"/>
      <c r="M64" s="202"/>
      <c r="N64" s="202"/>
      <c r="O64" s="202"/>
      <c r="P64" s="202"/>
      <c r="Q64" s="202"/>
    </row>
    <row r="65" s="56" customFormat="1"/>
  </sheetData>
  <pageMargins left="0.7" right="0.7" top="0.75" bottom="0.75" header="0.3" footer="0.3"/>
  <pageSetup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46"/>
  <sheetViews>
    <sheetView topLeftCell="A4" zoomScale="85" zoomScaleNormal="85" workbookViewId="0">
      <selection activeCell="E15" sqref="E15"/>
    </sheetView>
  </sheetViews>
  <sheetFormatPr defaultColWidth="10.6640625" defaultRowHeight="13.2"/>
  <cols>
    <col min="1" max="1" width="8.109375" style="10" bestFit="1" customWidth="1"/>
    <col min="2" max="2" width="39" style="11" bestFit="1" customWidth="1"/>
    <col min="3" max="5" width="19.109375" style="11" customWidth="1"/>
    <col min="6" max="6" width="17.33203125" style="11" customWidth="1"/>
    <col min="7" max="8" width="19.109375" style="11" customWidth="1"/>
    <col min="9" max="9" width="13.109375" style="11" bestFit="1" customWidth="1"/>
    <col min="10" max="10" width="16.6640625" style="11" bestFit="1" customWidth="1"/>
    <col min="11" max="16384" width="10.6640625" style="11"/>
  </cols>
  <sheetData>
    <row r="1" spans="1:27" s="3" customFormat="1" ht="35.1" customHeight="1">
      <c r="A1" s="1"/>
      <c r="B1" s="385" t="s">
        <v>80</v>
      </c>
      <c r="C1" s="385"/>
      <c r="D1" s="385"/>
      <c r="E1" s="385"/>
      <c r="F1" s="385"/>
      <c r="G1" s="385"/>
      <c r="H1" s="38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9" customFormat="1" ht="15.75" customHeight="1">
      <c r="A2" s="4"/>
      <c r="B2" s="386" t="s">
        <v>0</v>
      </c>
      <c r="C2" s="386"/>
      <c r="D2" s="386"/>
      <c r="E2" s="386"/>
      <c r="F2" s="386"/>
      <c r="G2" s="5" t="s">
        <v>1</v>
      </c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  <c r="AA2" s="8" t="s">
        <v>1</v>
      </c>
    </row>
    <row r="4" spans="1:27">
      <c r="D4" s="12"/>
      <c r="E4" s="12"/>
      <c r="F4" s="12"/>
      <c r="G4" s="12"/>
      <c r="H4" s="12"/>
    </row>
    <row r="6" spans="1:27" ht="12.75" customHeight="1">
      <c r="A6" s="387" t="s">
        <v>2</v>
      </c>
      <c r="B6" s="387" t="s">
        <v>3</v>
      </c>
      <c r="C6" s="387" t="s">
        <v>183</v>
      </c>
      <c r="D6" s="387" t="s">
        <v>209</v>
      </c>
      <c r="E6" s="387" t="s">
        <v>218</v>
      </c>
      <c r="F6" s="387"/>
      <c r="G6" s="387"/>
      <c r="H6" s="387"/>
    </row>
    <row r="7" spans="1:27" ht="7.5" customHeight="1">
      <c r="A7" s="387"/>
      <c r="B7" s="387"/>
      <c r="C7" s="387"/>
      <c r="D7" s="387"/>
      <c r="E7" s="387"/>
      <c r="F7" s="387"/>
      <c r="G7" s="387"/>
      <c r="H7" s="387"/>
      <c r="I7" s="13"/>
      <c r="J7" s="13"/>
      <c r="K7" s="13"/>
    </row>
    <row r="8" spans="1:27" ht="6.75" customHeight="1">
      <c r="A8" s="387"/>
      <c r="B8" s="387"/>
      <c r="C8" s="387"/>
      <c r="D8" s="387"/>
      <c r="E8" s="387"/>
      <c r="F8" s="387"/>
      <c r="G8" s="387"/>
      <c r="H8" s="387"/>
      <c r="I8" s="13"/>
      <c r="J8" s="13"/>
      <c r="K8" s="13"/>
    </row>
    <row r="9" spans="1:27" ht="15.75" customHeight="1">
      <c r="A9" s="387"/>
      <c r="B9" s="387"/>
      <c r="C9" s="387"/>
      <c r="D9" s="387"/>
      <c r="E9" s="387"/>
      <c r="F9" s="387"/>
      <c r="G9" s="14"/>
      <c r="H9" s="14"/>
      <c r="I9" s="12"/>
      <c r="J9" s="12"/>
      <c r="K9" s="12"/>
    </row>
    <row r="10" spans="1:27">
      <c r="A10" s="14">
        <v>0</v>
      </c>
      <c r="B10" s="15" t="s">
        <v>5</v>
      </c>
      <c r="C10" s="14">
        <v>1</v>
      </c>
      <c r="D10" s="14">
        <v>2</v>
      </c>
      <c r="E10" s="14">
        <v>3</v>
      </c>
      <c r="F10" s="14"/>
      <c r="G10" s="14"/>
      <c r="H10" s="14"/>
      <c r="I10" s="12"/>
      <c r="J10" s="12"/>
      <c r="K10" s="12"/>
    </row>
    <row r="11" spans="1:27">
      <c r="A11" s="14"/>
      <c r="B11" s="16" t="s">
        <v>6</v>
      </c>
      <c r="C11" s="74">
        <v>50092433.149999999</v>
      </c>
      <c r="D11" s="74">
        <v>84318903.280000001</v>
      </c>
      <c r="E11" s="74">
        <v>99547825.629999995</v>
      </c>
      <c r="F11" s="17"/>
      <c r="G11" s="18"/>
      <c r="H11" s="18"/>
      <c r="I11" s="12"/>
      <c r="J11" s="12"/>
      <c r="K11" s="12"/>
    </row>
    <row r="12" spans="1:27">
      <c r="A12" s="14"/>
      <c r="B12" s="16" t="s">
        <v>7</v>
      </c>
      <c r="C12" s="74">
        <v>4025388</v>
      </c>
      <c r="D12" s="74">
        <v>3991341.8</v>
      </c>
      <c r="E12" s="74">
        <v>6710634</v>
      </c>
      <c r="F12" s="17"/>
      <c r="G12" s="18"/>
      <c r="H12" s="18"/>
      <c r="I12" s="12"/>
      <c r="J12" s="12"/>
      <c r="K12" s="12"/>
    </row>
    <row r="13" spans="1:27">
      <c r="A13" s="14"/>
      <c r="B13" s="16" t="s">
        <v>45</v>
      </c>
      <c r="C13" s="74">
        <v>294714.5</v>
      </c>
      <c r="D13" s="74">
        <v>418367.14</v>
      </c>
      <c r="E13" s="74">
        <v>610160.80000000005</v>
      </c>
      <c r="F13" s="17"/>
      <c r="G13" s="18"/>
      <c r="H13" s="18"/>
      <c r="I13" s="12"/>
      <c r="J13" s="12"/>
      <c r="K13" s="12"/>
    </row>
    <row r="14" spans="1:27">
      <c r="A14" s="14"/>
      <c r="B14" s="16" t="s">
        <v>8</v>
      </c>
      <c r="C14" s="74">
        <v>2498940.1800000002</v>
      </c>
      <c r="D14" s="74">
        <v>2832666.59</v>
      </c>
      <c r="E14" s="74">
        <v>1544416.56</v>
      </c>
      <c r="F14" s="17"/>
      <c r="G14" s="18"/>
      <c r="H14" s="18"/>
      <c r="I14" s="12"/>
      <c r="J14" s="12"/>
      <c r="K14" s="12"/>
    </row>
    <row r="15" spans="1:27">
      <c r="A15" s="14"/>
      <c r="B15" s="16" t="s">
        <v>91</v>
      </c>
      <c r="C15" s="74">
        <v>0</v>
      </c>
      <c r="D15" s="74">
        <v>0</v>
      </c>
      <c r="E15" s="74">
        <v>0</v>
      </c>
      <c r="F15" s="17"/>
      <c r="G15" s="18"/>
      <c r="H15" s="18"/>
      <c r="I15" s="12"/>
      <c r="J15" s="12"/>
      <c r="K15" s="12"/>
    </row>
    <row r="16" spans="1:27">
      <c r="A16" s="14"/>
      <c r="B16" s="16" t="s">
        <v>9</v>
      </c>
      <c r="C16" s="74">
        <v>5124368.3899999997</v>
      </c>
      <c r="D16" s="74">
        <v>2247592.7400000002</v>
      </c>
      <c r="E16" s="74">
        <v>3493648.43</v>
      </c>
      <c r="F16" s="17"/>
      <c r="G16" s="18"/>
      <c r="H16" s="18"/>
      <c r="I16" s="12"/>
      <c r="J16" s="12"/>
      <c r="K16" s="12"/>
    </row>
    <row r="17" spans="1:15">
      <c r="A17" s="14"/>
      <c r="B17" s="16" t="s">
        <v>10</v>
      </c>
      <c r="C17" s="74"/>
      <c r="D17" s="74">
        <v>14171.02</v>
      </c>
      <c r="E17" s="74">
        <v>47934.87</v>
      </c>
      <c r="F17" s="17"/>
      <c r="G17" s="18"/>
      <c r="H17" s="18"/>
      <c r="I17" s="12"/>
      <c r="J17" s="12"/>
      <c r="K17" s="12"/>
    </row>
    <row r="18" spans="1:15">
      <c r="A18" s="14"/>
      <c r="B18" s="16" t="s">
        <v>11</v>
      </c>
      <c r="C18" s="74"/>
      <c r="D18" s="74">
        <v>31342648.010000002</v>
      </c>
      <c r="E18" s="74">
        <v>37646825.439999998</v>
      </c>
      <c r="F18" s="17"/>
      <c r="G18" s="18"/>
      <c r="H18" s="18"/>
      <c r="I18" s="12"/>
      <c r="J18" s="12"/>
      <c r="K18" s="12"/>
    </row>
    <row r="19" spans="1:15">
      <c r="A19" s="14">
        <v>1</v>
      </c>
      <c r="B19" s="19" t="s">
        <v>12</v>
      </c>
      <c r="C19" s="74">
        <f>C11-SUM(C12:C18)</f>
        <v>38149022.079999998</v>
      </c>
      <c r="D19" s="74">
        <f>D11-SUM(D12:D18)</f>
        <v>43472115.980000004</v>
      </c>
      <c r="E19" s="74">
        <f>E11-SUM(E12:E18)</f>
        <v>49494205.530000001</v>
      </c>
      <c r="F19" s="17"/>
      <c r="G19" s="17"/>
      <c r="H19" s="17"/>
      <c r="I19" s="20"/>
      <c r="J19" s="20"/>
      <c r="K19" s="21"/>
      <c r="L19" s="21"/>
      <c r="M19" s="21"/>
      <c r="N19" s="21"/>
      <c r="O19" s="21"/>
    </row>
    <row r="20" spans="1:15">
      <c r="A20" s="14">
        <v>2</v>
      </c>
      <c r="B20" s="22" t="s">
        <v>13</v>
      </c>
      <c r="C20" s="74">
        <f>0.3*C19</f>
        <v>11444706.624</v>
      </c>
      <c r="D20" s="74">
        <f>0.3*D19</f>
        <v>13041634.794000002</v>
      </c>
      <c r="E20" s="74">
        <f>0.3*E19</f>
        <v>14848261.659</v>
      </c>
      <c r="F20" s="152"/>
      <c r="G20" s="17"/>
      <c r="H20" s="17"/>
      <c r="J20" s="20"/>
    </row>
    <row r="21" spans="1:15">
      <c r="A21" s="14">
        <v>3</v>
      </c>
      <c r="B21" s="22" t="s">
        <v>14</v>
      </c>
      <c r="C21" s="74">
        <f>SUM(C22:C24)</f>
        <v>0</v>
      </c>
      <c r="D21" s="74">
        <f>SUM(D22:D24)</f>
        <v>0</v>
      </c>
      <c r="E21" s="74">
        <f>SUM(E22:E24)</f>
        <v>0</v>
      </c>
      <c r="F21" s="17"/>
      <c r="G21" s="17"/>
      <c r="H21" s="17"/>
    </row>
    <row r="22" spans="1:15">
      <c r="A22" s="14">
        <v>4</v>
      </c>
      <c r="B22" s="22" t="s">
        <v>15</v>
      </c>
      <c r="C22" s="74">
        <f>'[15]ChExRz T4 2007'!$Q$30</f>
        <v>0</v>
      </c>
      <c r="D22" s="74">
        <v>0</v>
      </c>
      <c r="E22" s="74">
        <v>0</v>
      </c>
      <c r="F22" s="17"/>
      <c r="G22" s="17"/>
      <c r="H22" s="17"/>
    </row>
    <row r="23" spans="1:15">
      <c r="A23" s="14">
        <v>5</v>
      </c>
      <c r="B23" s="22" t="s">
        <v>16</v>
      </c>
      <c r="C23" s="74">
        <v>0</v>
      </c>
      <c r="D23" s="74">
        <v>0</v>
      </c>
      <c r="E23" s="74">
        <v>0</v>
      </c>
      <c r="F23" s="17"/>
      <c r="G23" s="17"/>
      <c r="H23" s="17"/>
    </row>
    <row r="24" spans="1:15">
      <c r="A24" s="14">
        <v>6</v>
      </c>
      <c r="B24" s="22" t="s">
        <v>17</v>
      </c>
      <c r="C24" s="74">
        <v>0</v>
      </c>
      <c r="D24" s="74">
        <v>0</v>
      </c>
      <c r="E24" s="74">
        <v>0</v>
      </c>
      <c r="F24" s="17"/>
      <c r="G24" s="17"/>
      <c r="H24" s="17"/>
    </row>
    <row r="25" spans="1:15" ht="26.4">
      <c r="A25" s="14">
        <v>7</v>
      </c>
      <c r="B25" s="22" t="s">
        <v>18</v>
      </c>
      <c r="C25" s="75">
        <f>C21/C20</f>
        <v>0</v>
      </c>
      <c r="D25" s="75">
        <f>D21/D20</f>
        <v>0</v>
      </c>
      <c r="E25" s="75">
        <f>E21/E20</f>
        <v>0</v>
      </c>
      <c r="F25" s="24"/>
      <c r="G25" s="23"/>
      <c r="H25" s="23"/>
    </row>
    <row r="31" spans="1:15">
      <c r="C31" s="25"/>
      <c r="D31" s="25"/>
      <c r="E31" s="25"/>
    </row>
    <row r="32" spans="1:15">
      <c r="C32" s="25"/>
      <c r="D32" s="25"/>
      <c r="E32" s="25"/>
    </row>
    <row r="33" spans="3:6">
      <c r="C33" s="25"/>
      <c r="D33" s="25"/>
      <c r="E33" s="25"/>
    </row>
    <row r="36" spans="3:6">
      <c r="C36" s="25"/>
      <c r="D36" s="25"/>
      <c r="E36" s="25"/>
    </row>
    <row r="37" spans="3:6">
      <c r="C37" s="25"/>
      <c r="D37" s="25"/>
      <c r="E37" s="25"/>
    </row>
    <row r="38" spans="3:6">
      <c r="C38" s="25"/>
      <c r="D38" s="25"/>
      <c r="E38" s="25"/>
    </row>
    <row r="40" spans="3:6">
      <c r="C40" s="26"/>
      <c r="D40" s="26"/>
      <c r="E40" s="26"/>
    </row>
    <row r="41" spans="3:6">
      <c r="C41" s="26"/>
      <c r="D41" s="26"/>
      <c r="E41" s="26"/>
    </row>
    <row r="42" spans="3:6">
      <c r="C42" s="26"/>
      <c r="D42" s="26"/>
      <c r="E42" s="26"/>
    </row>
    <row r="46" spans="3:6">
      <c r="E46" s="26"/>
      <c r="F46" s="26"/>
    </row>
  </sheetData>
  <mergeCells count="9">
    <mergeCell ref="B1:H1"/>
    <mergeCell ref="B2:F2"/>
    <mergeCell ref="A6:A9"/>
    <mergeCell ref="B6:B9"/>
    <mergeCell ref="C6:C9"/>
    <mergeCell ref="D6:D9"/>
    <mergeCell ref="E6:E9"/>
    <mergeCell ref="F6:F9"/>
    <mergeCell ref="G6:H8"/>
  </mergeCells>
  <printOptions horizontalCentered="1"/>
  <pageMargins left="0" right="0" top="0.5" bottom="0.39370078740157499" header="0.511811023622047" footer="0.511811023622047"/>
  <pageSetup paperSize="9" orientation="landscape" r:id="rId1"/>
  <headerFooter alignWithMargins="0">
    <oddFooter>&amp;CTUD - servicii de finante publice profesionale  
www.tudconsult.ro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AC57"/>
  <sheetViews>
    <sheetView view="pageBreakPreview" topLeftCell="A6" zoomScale="85" zoomScaleSheetLayoutView="85" workbookViewId="0">
      <selection activeCell="A15" sqref="A15"/>
    </sheetView>
  </sheetViews>
  <sheetFormatPr defaultColWidth="10.6640625" defaultRowHeight="13.2"/>
  <cols>
    <col min="1" max="1" width="4.6640625" style="190" customWidth="1"/>
    <col min="2" max="2" width="36.109375" style="191" customWidth="1"/>
    <col min="3" max="3" width="17.6640625" style="191" customWidth="1"/>
    <col min="4" max="4" width="17.77734375" style="191" customWidth="1"/>
    <col min="5" max="5" width="17.6640625" style="191" customWidth="1"/>
    <col min="6" max="7" width="13.77734375" style="191" customWidth="1"/>
    <col min="8" max="8" width="14" style="191" customWidth="1"/>
    <col min="9" max="16" width="14" style="191" bestFit="1" customWidth="1"/>
    <col min="17" max="28" width="15.109375" style="191" customWidth="1"/>
    <col min="29" max="30" width="13.33203125" style="191" bestFit="1" customWidth="1"/>
    <col min="31" max="31" width="10.6640625" style="191"/>
    <col min="32" max="33" width="13.6640625" style="191" bestFit="1" customWidth="1"/>
    <col min="34" max="34" width="12.33203125" style="191" bestFit="1" customWidth="1"/>
    <col min="35" max="16384" width="10.6640625" style="191"/>
  </cols>
  <sheetData>
    <row r="2" spans="1:15" ht="12.75" customHeight="1">
      <c r="D2" s="392" t="s">
        <v>135</v>
      </c>
      <c r="E2" s="392"/>
      <c r="F2" s="392"/>
      <c r="G2" s="392"/>
      <c r="H2" s="392"/>
      <c r="I2" s="287"/>
      <c r="J2" s="287"/>
    </row>
    <row r="3" spans="1:15" ht="16.5" customHeight="1">
      <c r="D3" s="392"/>
      <c r="E3" s="392"/>
      <c r="F3" s="392"/>
      <c r="G3" s="392"/>
      <c r="H3" s="392"/>
      <c r="I3" s="287"/>
      <c r="J3" s="287"/>
      <c r="L3" s="390" t="s">
        <v>87</v>
      </c>
      <c r="M3" s="390"/>
    </row>
    <row r="4" spans="1:15" ht="8.25" customHeight="1">
      <c r="D4" s="287"/>
      <c r="E4" s="287"/>
      <c r="F4" s="287"/>
      <c r="G4" s="287"/>
      <c r="H4" s="287"/>
      <c r="I4" s="287"/>
      <c r="J4" s="287"/>
    </row>
    <row r="5" spans="1:15">
      <c r="C5" s="192"/>
      <c r="D5" s="223"/>
      <c r="E5" s="392" t="s">
        <v>136</v>
      </c>
      <c r="F5" s="392"/>
      <c r="G5" s="392"/>
      <c r="H5" s="223"/>
      <c r="I5" s="223"/>
      <c r="J5" s="223"/>
    </row>
    <row r="6" spans="1:15">
      <c r="D6" s="223"/>
      <c r="E6" s="392"/>
      <c r="F6" s="392"/>
      <c r="G6" s="392"/>
      <c r="H6" s="223"/>
      <c r="I6" s="223"/>
      <c r="J6" s="223"/>
    </row>
    <row r="7" spans="1:15">
      <c r="D7" s="223"/>
      <c r="E7" s="223"/>
      <c r="F7" s="223"/>
      <c r="G7" s="223"/>
      <c r="H7" s="223"/>
      <c r="I7" s="223"/>
      <c r="J7" s="223"/>
    </row>
    <row r="8" spans="1:15">
      <c r="D8" s="223"/>
      <c r="E8" s="223"/>
      <c r="F8" s="223"/>
      <c r="G8" s="223"/>
      <c r="H8" s="223"/>
      <c r="I8" s="223"/>
      <c r="J8" s="223"/>
    </row>
    <row r="9" spans="1:15">
      <c r="D9" s="223"/>
      <c r="E9" s="223"/>
      <c r="F9" s="223"/>
      <c r="G9" s="223"/>
      <c r="H9" s="223"/>
      <c r="I9" s="223"/>
      <c r="J9" s="223"/>
    </row>
    <row r="10" spans="1:15">
      <c r="D10" s="223"/>
      <c r="E10" s="223"/>
      <c r="F10" s="223"/>
      <c r="G10" s="223"/>
      <c r="H10" s="223"/>
      <c r="I10" s="223"/>
      <c r="J10" s="223"/>
    </row>
    <row r="11" spans="1:15">
      <c r="D11" s="223"/>
      <c r="E11" s="223"/>
      <c r="F11" s="223"/>
      <c r="G11" s="223"/>
      <c r="H11" s="223"/>
      <c r="I11" s="223"/>
      <c r="J11" s="223"/>
    </row>
    <row r="12" spans="1:15" ht="17.399999999999999">
      <c r="A12" s="391" t="s">
        <v>223</v>
      </c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</row>
    <row r="13" spans="1:15" ht="17.399999999999999" hidden="1">
      <c r="A13" s="391"/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</row>
    <row r="14" spans="1:15" ht="18" hidden="1" customHeight="1">
      <c r="A14" s="389"/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12"/>
      <c r="O14" s="312"/>
    </row>
    <row r="15" spans="1:15" ht="15.6">
      <c r="D15" s="388" t="s">
        <v>208</v>
      </c>
      <c r="E15" s="388"/>
      <c r="F15" s="388"/>
      <c r="G15" s="388"/>
      <c r="H15" s="388"/>
      <c r="I15" s="388"/>
      <c r="J15" s="388"/>
    </row>
    <row r="17" spans="1:29" ht="12.75" customHeight="1">
      <c r="A17" s="393" t="s">
        <v>2</v>
      </c>
      <c r="B17" s="397" t="s">
        <v>3</v>
      </c>
      <c r="C17" s="397" t="s">
        <v>183</v>
      </c>
      <c r="D17" s="397" t="s">
        <v>209</v>
      </c>
      <c r="E17" s="397" t="s">
        <v>218</v>
      </c>
      <c r="F17" s="393" t="s">
        <v>4</v>
      </c>
      <c r="G17" s="393"/>
      <c r="H17" s="393"/>
      <c r="I17" s="393"/>
      <c r="J17" s="393"/>
      <c r="K17" s="393"/>
      <c r="L17" s="393"/>
      <c r="M17" s="393"/>
      <c r="N17" s="226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</row>
    <row r="18" spans="1:29" ht="26.25" customHeight="1">
      <c r="A18" s="393"/>
      <c r="B18" s="397"/>
      <c r="C18" s="397"/>
      <c r="D18" s="397"/>
      <c r="E18" s="397"/>
      <c r="F18" s="393"/>
      <c r="G18" s="393"/>
      <c r="H18" s="393"/>
      <c r="I18" s="393"/>
      <c r="J18" s="393"/>
      <c r="K18" s="393"/>
      <c r="L18" s="393"/>
      <c r="M18" s="393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193"/>
      <c r="AB18" s="193"/>
      <c r="AC18" s="193"/>
    </row>
    <row r="19" spans="1:29" ht="12.75" customHeight="1">
      <c r="A19" s="393"/>
      <c r="B19" s="397"/>
      <c r="C19" s="397"/>
      <c r="D19" s="397"/>
      <c r="E19" s="397"/>
      <c r="F19" s="393"/>
      <c r="G19" s="393"/>
      <c r="H19" s="393"/>
      <c r="I19" s="393"/>
      <c r="J19" s="393"/>
      <c r="K19" s="393"/>
      <c r="L19" s="393"/>
      <c r="M19" s="393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193"/>
      <c r="AC19" s="193"/>
    </row>
    <row r="20" spans="1:29" ht="13.8">
      <c r="A20" s="393"/>
      <c r="B20" s="397"/>
      <c r="C20" s="397"/>
      <c r="D20" s="397"/>
      <c r="E20" s="397"/>
      <c r="F20" s="292">
        <v>2024</v>
      </c>
      <c r="G20" s="292">
        <f t="shared" ref="G20:M21" si="0">F20+1</f>
        <v>2025</v>
      </c>
      <c r="H20" s="292">
        <f t="shared" si="0"/>
        <v>2026</v>
      </c>
      <c r="I20" s="292">
        <f t="shared" si="0"/>
        <v>2027</v>
      </c>
      <c r="J20" s="292">
        <f t="shared" si="0"/>
        <v>2028</v>
      </c>
      <c r="K20" s="292">
        <f t="shared" si="0"/>
        <v>2029</v>
      </c>
      <c r="L20" s="292">
        <f t="shared" si="0"/>
        <v>2030</v>
      </c>
      <c r="M20" s="292">
        <f t="shared" si="0"/>
        <v>2031</v>
      </c>
      <c r="N20" s="194">
        <f>L20+1</f>
        <v>2031</v>
      </c>
      <c r="O20" s="194">
        <f t="shared" ref="O20:Y21" si="1">N20+1</f>
        <v>2032</v>
      </c>
      <c r="P20" s="194">
        <f t="shared" si="1"/>
        <v>2033</v>
      </c>
      <c r="Q20" s="194">
        <f t="shared" si="1"/>
        <v>2034</v>
      </c>
      <c r="R20" s="194">
        <f t="shared" si="1"/>
        <v>2035</v>
      </c>
      <c r="S20" s="194">
        <f t="shared" si="1"/>
        <v>2036</v>
      </c>
      <c r="T20" s="194">
        <f t="shared" si="1"/>
        <v>2037</v>
      </c>
      <c r="U20" s="194">
        <f t="shared" si="1"/>
        <v>2038</v>
      </c>
      <c r="V20" s="194">
        <f t="shared" si="1"/>
        <v>2039</v>
      </c>
      <c r="W20" s="194">
        <f t="shared" si="1"/>
        <v>2040</v>
      </c>
      <c r="X20" s="194">
        <f t="shared" si="1"/>
        <v>2041</v>
      </c>
      <c r="Y20" s="194">
        <f t="shared" si="1"/>
        <v>2042</v>
      </c>
    </row>
    <row r="21" spans="1:29" ht="13.8">
      <c r="A21" s="293">
        <v>0</v>
      </c>
      <c r="B21" s="294" t="s">
        <v>5</v>
      </c>
      <c r="C21" s="294">
        <v>1</v>
      </c>
      <c r="D21" s="294">
        <v>2</v>
      </c>
      <c r="E21" s="294">
        <v>3</v>
      </c>
      <c r="F21" s="294">
        <v>4</v>
      </c>
      <c r="G21" s="294">
        <f t="shared" si="0"/>
        <v>5</v>
      </c>
      <c r="H21" s="294">
        <f t="shared" si="0"/>
        <v>6</v>
      </c>
      <c r="I21" s="294">
        <f t="shared" si="0"/>
        <v>7</v>
      </c>
      <c r="J21" s="294">
        <f t="shared" si="0"/>
        <v>8</v>
      </c>
      <c r="K21" s="294">
        <f t="shared" si="0"/>
        <v>9</v>
      </c>
      <c r="L21" s="294">
        <f t="shared" si="0"/>
        <v>10</v>
      </c>
      <c r="M21" s="294">
        <f t="shared" si="0"/>
        <v>11</v>
      </c>
      <c r="N21" s="224">
        <f>L21+1</f>
        <v>11</v>
      </c>
      <c r="O21" s="224">
        <f t="shared" si="1"/>
        <v>12</v>
      </c>
      <c r="P21" s="224">
        <f t="shared" si="1"/>
        <v>13</v>
      </c>
      <c r="Q21" s="224">
        <f t="shared" si="1"/>
        <v>14</v>
      </c>
      <c r="R21" s="224">
        <f t="shared" si="1"/>
        <v>15</v>
      </c>
      <c r="S21" s="224">
        <f t="shared" si="1"/>
        <v>16</v>
      </c>
      <c r="T21" s="224">
        <f t="shared" si="1"/>
        <v>17</v>
      </c>
      <c r="U21" s="224">
        <f t="shared" si="1"/>
        <v>18</v>
      </c>
      <c r="V21" s="224">
        <f t="shared" si="1"/>
        <v>19</v>
      </c>
      <c r="W21" s="224">
        <f t="shared" si="1"/>
        <v>20</v>
      </c>
      <c r="X21" s="224">
        <f t="shared" si="1"/>
        <v>21</v>
      </c>
      <c r="Y21" s="224">
        <f t="shared" si="1"/>
        <v>22</v>
      </c>
    </row>
    <row r="22" spans="1:29" ht="13.8">
      <c r="A22" s="293">
        <v>1</v>
      </c>
      <c r="B22" s="295" t="s">
        <v>12</v>
      </c>
      <c r="C22" s="296">
        <f>'grad indatorare'!C19/1000</f>
        <v>38149.022079999995</v>
      </c>
      <c r="D22" s="296">
        <f>'grad indatorare'!D19/1000</f>
        <v>43472.115980000002</v>
      </c>
      <c r="E22" s="296">
        <f>'grad indatorare'!E19/1000</f>
        <v>49494.205529999999</v>
      </c>
      <c r="F22" s="296">
        <f>SUM(C22:E22)/3</f>
        <v>43705.114529999999</v>
      </c>
      <c r="G22" s="296">
        <f t="shared" ref="G22:M22" si="2">F22</f>
        <v>43705.114529999999</v>
      </c>
      <c r="H22" s="296">
        <f t="shared" si="2"/>
        <v>43705.114529999999</v>
      </c>
      <c r="I22" s="296">
        <f t="shared" si="2"/>
        <v>43705.114529999999</v>
      </c>
      <c r="J22" s="296">
        <f t="shared" si="2"/>
        <v>43705.114529999999</v>
      </c>
      <c r="K22" s="296">
        <f t="shared" si="2"/>
        <v>43705.114529999999</v>
      </c>
      <c r="L22" s="296">
        <f t="shared" si="2"/>
        <v>43705.114529999999</v>
      </c>
      <c r="M22" s="296">
        <f t="shared" si="2"/>
        <v>43705.114529999999</v>
      </c>
      <c r="N22" s="195">
        <f t="shared" ref="N22:Y22" si="3">SUM($C$22:$E$22)/3</f>
        <v>43705.114529999999</v>
      </c>
      <c r="O22" s="195">
        <f t="shared" si="3"/>
        <v>43705.114529999999</v>
      </c>
      <c r="P22" s="195">
        <f t="shared" si="3"/>
        <v>43705.114529999999</v>
      </c>
      <c r="Q22" s="195">
        <f t="shared" si="3"/>
        <v>43705.114529999999</v>
      </c>
      <c r="R22" s="195">
        <f t="shared" si="3"/>
        <v>43705.114529999999</v>
      </c>
      <c r="S22" s="195">
        <f t="shared" si="3"/>
        <v>43705.114529999999</v>
      </c>
      <c r="T22" s="195">
        <f t="shared" si="3"/>
        <v>43705.114529999999</v>
      </c>
      <c r="U22" s="195">
        <f t="shared" si="3"/>
        <v>43705.114529999999</v>
      </c>
      <c r="V22" s="195">
        <f t="shared" si="3"/>
        <v>43705.114529999999</v>
      </c>
      <c r="W22" s="195">
        <f t="shared" si="3"/>
        <v>43705.114529999999</v>
      </c>
      <c r="X22" s="195">
        <f t="shared" si="3"/>
        <v>43705.114529999999</v>
      </c>
      <c r="Y22" s="195">
        <f t="shared" si="3"/>
        <v>43705.114529999999</v>
      </c>
      <c r="Z22" s="196"/>
      <c r="AA22" s="196"/>
    </row>
    <row r="23" spans="1:29" ht="27.6">
      <c r="A23" s="293">
        <v>2</v>
      </c>
      <c r="B23" s="297" t="s">
        <v>13</v>
      </c>
      <c r="C23" s="296">
        <f t="shared" ref="C23:L23" si="4">C22*0.3</f>
        <v>11444.706623999999</v>
      </c>
      <c r="D23" s="296">
        <f t="shared" si="4"/>
        <v>13041.634794</v>
      </c>
      <c r="E23" s="296">
        <f t="shared" si="4"/>
        <v>14848.261659</v>
      </c>
      <c r="F23" s="296">
        <f t="shared" si="4"/>
        <v>13111.534358999999</v>
      </c>
      <c r="G23" s="296">
        <f t="shared" si="4"/>
        <v>13111.534358999999</v>
      </c>
      <c r="H23" s="296">
        <f t="shared" si="4"/>
        <v>13111.534358999999</v>
      </c>
      <c r="I23" s="296">
        <f t="shared" si="4"/>
        <v>13111.534358999999</v>
      </c>
      <c r="J23" s="296">
        <f t="shared" si="4"/>
        <v>13111.534358999999</v>
      </c>
      <c r="K23" s="296">
        <f t="shared" si="4"/>
        <v>13111.534358999999</v>
      </c>
      <c r="L23" s="296">
        <f t="shared" si="4"/>
        <v>13111.534358999999</v>
      </c>
      <c r="M23" s="296">
        <f>M22*0.3</f>
        <v>13111.534358999999</v>
      </c>
      <c r="N23" s="195">
        <f t="shared" ref="N23:Y23" si="5">N22*0.3</f>
        <v>13111.534358999999</v>
      </c>
      <c r="O23" s="195">
        <f t="shared" si="5"/>
        <v>13111.534358999999</v>
      </c>
      <c r="P23" s="195">
        <f t="shared" si="5"/>
        <v>13111.534358999999</v>
      </c>
      <c r="Q23" s="195">
        <f t="shared" si="5"/>
        <v>13111.534358999999</v>
      </c>
      <c r="R23" s="195">
        <f t="shared" si="5"/>
        <v>13111.534358999999</v>
      </c>
      <c r="S23" s="195">
        <f t="shared" si="5"/>
        <v>13111.534358999999</v>
      </c>
      <c r="T23" s="195">
        <f t="shared" si="5"/>
        <v>13111.534358999999</v>
      </c>
      <c r="U23" s="195">
        <f t="shared" si="5"/>
        <v>13111.534358999999</v>
      </c>
      <c r="V23" s="195">
        <f t="shared" si="5"/>
        <v>13111.534358999999</v>
      </c>
      <c r="W23" s="195">
        <f t="shared" si="5"/>
        <v>13111.534358999999</v>
      </c>
      <c r="X23" s="195">
        <f t="shared" si="5"/>
        <v>13111.534358999999</v>
      </c>
      <c r="Y23" s="195">
        <f t="shared" si="5"/>
        <v>13111.534358999999</v>
      </c>
    </row>
    <row r="24" spans="1:29" ht="27.6">
      <c r="A24" s="293">
        <v>3</v>
      </c>
      <c r="B24" s="297" t="s">
        <v>14</v>
      </c>
      <c r="C24" s="296"/>
      <c r="D24" s="296"/>
      <c r="E24" s="296"/>
      <c r="F24" s="296">
        <f t="shared" ref="F24:L24" si="6">SUM(F25:F27)</f>
        <v>10436.163346214955</v>
      </c>
      <c r="G24" s="296">
        <f t="shared" si="6"/>
        <v>9584.9881766524359</v>
      </c>
      <c r="H24" s="296">
        <f t="shared" si="6"/>
        <v>9917.8963710065182</v>
      </c>
      <c r="I24" s="296">
        <f t="shared" si="6"/>
        <v>9735.6110033470577</v>
      </c>
      <c r="J24" s="296">
        <f t="shared" si="6"/>
        <v>9006.8037723475463</v>
      </c>
      <c r="K24" s="296">
        <f t="shared" si="6"/>
        <v>8315.0261691693249</v>
      </c>
      <c r="L24" s="296">
        <f t="shared" si="6"/>
        <v>7401.767728946701</v>
      </c>
      <c r="M24" s="296">
        <f>SUM(M25:M27)</f>
        <v>5472.1088247533526</v>
      </c>
      <c r="N24" s="195">
        <f t="shared" ref="N24:Y24" si="7">SUM(N25:N27)</f>
        <v>7401.767728946701</v>
      </c>
      <c r="O24" s="195">
        <f t="shared" si="7"/>
        <v>5472.1088247533526</v>
      </c>
      <c r="P24" s="195">
        <f t="shared" si="7"/>
        <v>3836.5561573642244</v>
      </c>
      <c r="Q24" s="195">
        <f t="shared" si="7"/>
        <v>2603.1188709743915</v>
      </c>
      <c r="R24" s="195">
        <f t="shared" si="7"/>
        <v>1944.6848564814838</v>
      </c>
      <c r="S24" s="195">
        <f t="shared" si="7"/>
        <v>1814.0351342592617</v>
      </c>
      <c r="T24" s="195">
        <f t="shared" si="7"/>
        <v>575.7047638888896</v>
      </c>
      <c r="U24" s="195">
        <f t="shared" si="7"/>
        <v>0</v>
      </c>
      <c r="V24" s="195">
        <f t="shared" si="7"/>
        <v>575.7047638888896</v>
      </c>
      <c r="W24" s="195">
        <f t="shared" si="7"/>
        <v>1814.0351342592617</v>
      </c>
      <c r="X24" s="195" t="e">
        <f t="shared" si="7"/>
        <v>#REF!</v>
      </c>
      <c r="Y24" s="195">
        <f t="shared" si="7"/>
        <v>0</v>
      </c>
      <c r="Z24" s="197"/>
    </row>
    <row r="25" spans="1:29" ht="13.8">
      <c r="A25" s="293">
        <v>4</v>
      </c>
      <c r="B25" s="297" t="s">
        <v>15</v>
      </c>
      <c r="C25" s="296"/>
      <c r="D25" s="296"/>
      <c r="E25" s="296"/>
      <c r="F25" s="296">
        <f>centralizator!H55</f>
        <v>7349.6880800476902</v>
      </c>
      <c r="G25" s="296">
        <f>centralizator!I55</f>
        <v>6405.2850600476904</v>
      </c>
      <c r="H25" s="296">
        <f>centralizator!J55</f>
        <v>6594.2193733810236</v>
      </c>
      <c r="I25" s="296">
        <f>centralizator!K55</f>
        <v>6937.6616230236905</v>
      </c>
      <c r="J25" s="296">
        <f>centralizator!L55</f>
        <v>6714.2291440476911</v>
      </c>
      <c r="K25" s="296">
        <f>centralizator!M55</f>
        <v>6532.2952824237582</v>
      </c>
      <c r="L25" s="296">
        <f>centralizator!N55</f>
        <v>6101.1082477683667</v>
      </c>
      <c r="M25" s="296">
        <f>centralizator!O55</f>
        <v>4595.3600779267363</v>
      </c>
      <c r="N25" s="195">
        <f>centralizator!N55</f>
        <v>6101.1082477683667</v>
      </c>
      <c r="O25" s="195">
        <f>centralizator!O55</f>
        <v>4595.3600779267363</v>
      </c>
      <c r="P25" s="195">
        <f>centralizator!P55</f>
        <v>3233.9387200000001</v>
      </c>
      <c r="Q25" s="195">
        <f>centralizator!Q55</f>
        <v>2219.5933600000003</v>
      </c>
      <c r="R25" s="195">
        <f>centralizator!R55</f>
        <v>1700.0000000000002</v>
      </c>
      <c r="S25" s="195">
        <f>centralizator!S55</f>
        <v>1700.0000000000002</v>
      </c>
      <c r="T25" s="195">
        <f>centralizator!T55</f>
        <v>566.66666666666663</v>
      </c>
      <c r="U25" s="195">
        <f>centralizator!U55</f>
        <v>0</v>
      </c>
      <c r="V25" s="195">
        <f>centralizator!T55</f>
        <v>566.66666666666663</v>
      </c>
      <c r="W25" s="195">
        <f>centralizator!S55</f>
        <v>1700.0000000000002</v>
      </c>
      <c r="X25" s="195" t="e">
        <f>centralizator!#REF!</f>
        <v>#REF!</v>
      </c>
      <c r="Y25" s="195">
        <f>centralizator!U55</f>
        <v>0</v>
      </c>
      <c r="Z25" s="197"/>
    </row>
    <row r="26" spans="1:29" ht="13.8">
      <c r="A26" s="293">
        <v>5</v>
      </c>
      <c r="B26" s="297" t="s">
        <v>16</v>
      </c>
      <c r="C26" s="296"/>
      <c r="D26" s="296"/>
      <c r="E26" s="296"/>
      <c r="F26" s="296">
        <f>centralizator!H56</f>
        <v>3052.4752661672655</v>
      </c>
      <c r="G26" s="296">
        <f>centralizator!I56</f>
        <v>3179.703116604745</v>
      </c>
      <c r="H26" s="296">
        <f>centralizator!J56</f>
        <v>3323.6769976254946</v>
      </c>
      <c r="I26" s="296">
        <f>centralizator!K56</f>
        <v>2797.9493803233668</v>
      </c>
      <c r="J26" s="296">
        <f>centralizator!L56</f>
        <v>2292.5746282998552</v>
      </c>
      <c r="K26" s="296">
        <f>centralizator!M56</f>
        <v>1782.7308867455665</v>
      </c>
      <c r="L26" s="296">
        <f>centralizator!N56</f>
        <v>1300.6594811783345</v>
      </c>
      <c r="M26" s="296">
        <f>centralizator!O56</f>
        <v>876.74874682661596</v>
      </c>
      <c r="N26" s="195">
        <f>centralizator!N56</f>
        <v>1300.6594811783345</v>
      </c>
      <c r="O26" s="195">
        <f>centralizator!O56</f>
        <v>876.74874682661596</v>
      </c>
      <c r="P26" s="195">
        <f>centralizator!P56</f>
        <v>602.61743736422443</v>
      </c>
      <c r="Q26" s="195">
        <f>centralizator!Q56</f>
        <v>383.52551097439101</v>
      </c>
      <c r="R26" s="195">
        <f>centralizator!R56</f>
        <v>244.68485648148359</v>
      </c>
      <c r="S26" s="195">
        <f>centralizator!S56</f>
        <v>114.03513425926144</v>
      </c>
      <c r="T26" s="195">
        <f>centralizator!T56</f>
        <v>9.0380972222229392</v>
      </c>
      <c r="U26" s="195">
        <f>centralizator!U56</f>
        <v>0</v>
      </c>
      <c r="V26" s="195">
        <f>centralizator!T56</f>
        <v>9.0380972222229392</v>
      </c>
      <c r="W26" s="195">
        <f>centralizator!S56</f>
        <v>114.03513425926144</v>
      </c>
      <c r="X26" s="195" t="e">
        <f>centralizator!#REF!</f>
        <v>#REF!</v>
      </c>
      <c r="Y26" s="195">
        <f>centralizator!U56</f>
        <v>0</v>
      </c>
      <c r="Z26" s="197"/>
    </row>
    <row r="27" spans="1:29" ht="13.8">
      <c r="A27" s="293">
        <v>6</v>
      </c>
      <c r="B27" s="297" t="s">
        <v>17</v>
      </c>
      <c r="C27" s="296"/>
      <c r="D27" s="296"/>
      <c r="E27" s="296"/>
      <c r="F27" s="296">
        <f>centralizator!H57</f>
        <v>34</v>
      </c>
      <c r="G27" s="296">
        <f>centralizator!I57</f>
        <v>0</v>
      </c>
      <c r="H27" s="296">
        <f>centralizator!J57</f>
        <v>0</v>
      </c>
      <c r="I27" s="296">
        <f>centralizator!K57</f>
        <v>0</v>
      </c>
      <c r="J27" s="296">
        <f>centralizator!L57</f>
        <v>0</v>
      </c>
      <c r="K27" s="296">
        <f>centralizator!M57</f>
        <v>0</v>
      </c>
      <c r="L27" s="296">
        <f>centralizator!N57</f>
        <v>0</v>
      </c>
      <c r="M27" s="296">
        <f>centralizator!O57</f>
        <v>0</v>
      </c>
      <c r="N27" s="195">
        <f>centralizator!N57</f>
        <v>0</v>
      </c>
      <c r="O27" s="195">
        <f>centralizator!O57</f>
        <v>0</v>
      </c>
      <c r="P27" s="195">
        <f>centralizator!P57</f>
        <v>0</v>
      </c>
      <c r="Q27" s="195">
        <f>centralizator!Q57</f>
        <v>0</v>
      </c>
      <c r="R27" s="195">
        <f>centralizator!R57</f>
        <v>0</v>
      </c>
      <c r="S27" s="195">
        <f>centralizator!S57</f>
        <v>0</v>
      </c>
      <c r="T27" s="195">
        <f>centralizator!T57</f>
        <v>0</v>
      </c>
      <c r="U27" s="195">
        <f>centralizator!U57</f>
        <v>0</v>
      </c>
      <c r="V27" s="195">
        <f>centralizator!T57</f>
        <v>0</v>
      </c>
      <c r="W27" s="195">
        <f>centralizator!S57</f>
        <v>0</v>
      </c>
      <c r="X27" s="195" t="e">
        <f>centralizator!#REF!</f>
        <v>#REF!</v>
      </c>
      <c r="Y27" s="195">
        <f>centralizator!U57</f>
        <v>0</v>
      </c>
      <c r="Z27" s="197"/>
    </row>
    <row r="28" spans="1:29" ht="27.6">
      <c r="A28" s="293">
        <v>7</v>
      </c>
      <c r="B28" s="297" t="s">
        <v>18</v>
      </c>
      <c r="C28" s="296"/>
      <c r="D28" s="296"/>
      <c r="E28" s="296"/>
      <c r="F28" s="298">
        <f>F24/F22</f>
        <v>0.23878585969729879</v>
      </c>
      <c r="G28" s="298">
        <f t="shared" ref="G28:L28" si="8">G24/G22</f>
        <v>0.21931044637975089</v>
      </c>
      <c r="H28" s="298">
        <f t="shared" si="8"/>
        <v>0.22692759137374394</v>
      </c>
      <c r="I28" s="298">
        <f t="shared" si="8"/>
        <v>0.22275678963532641</v>
      </c>
      <c r="J28" s="298">
        <f t="shared" si="8"/>
        <v>0.20608123029091044</v>
      </c>
      <c r="K28" s="298">
        <f t="shared" si="8"/>
        <v>0.19025293168976223</v>
      </c>
      <c r="L28" s="298">
        <f t="shared" si="8"/>
        <v>0.16935701481495927</v>
      </c>
      <c r="M28" s="298">
        <f>M24/M22</f>
        <v>0.12520522789151362</v>
      </c>
      <c r="N28" s="198">
        <f t="shared" ref="N28:Y28" si="9">N24/N22</f>
        <v>0.16935701481495927</v>
      </c>
      <c r="O28" s="198">
        <f t="shared" si="9"/>
        <v>0.12520522789151362</v>
      </c>
      <c r="P28" s="198">
        <f t="shared" si="9"/>
        <v>8.7782773220528715E-2</v>
      </c>
      <c r="Q28" s="198">
        <f t="shared" si="9"/>
        <v>5.9560966696187524E-2</v>
      </c>
      <c r="R28" s="198">
        <f t="shared" si="9"/>
        <v>4.449558998745138E-2</v>
      </c>
      <c r="S28" s="198">
        <f t="shared" si="9"/>
        <v>4.1506243691778327E-2</v>
      </c>
      <c r="T28" s="198">
        <f t="shared" si="9"/>
        <v>1.3172480385418397E-2</v>
      </c>
      <c r="U28" s="198">
        <f t="shared" si="9"/>
        <v>0</v>
      </c>
      <c r="V28" s="198">
        <f t="shared" si="9"/>
        <v>1.3172480385418397E-2</v>
      </c>
      <c r="W28" s="198">
        <f t="shared" si="9"/>
        <v>4.1506243691778327E-2</v>
      </c>
      <c r="X28" s="198" t="e">
        <f t="shared" si="9"/>
        <v>#REF!</v>
      </c>
      <c r="Y28" s="198">
        <f t="shared" si="9"/>
        <v>0</v>
      </c>
    </row>
    <row r="29" spans="1:29" ht="13.8">
      <c r="A29" s="299"/>
      <c r="B29" s="300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</row>
    <row r="30" spans="1:29" ht="13.8" hidden="1">
      <c r="A30" s="299"/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</row>
    <row r="31" spans="1:29" ht="12.75" customHeight="1">
      <c r="A31" s="394" t="s">
        <v>2</v>
      </c>
      <c r="B31" s="397" t="s">
        <v>3</v>
      </c>
      <c r="C31" s="398" t="s">
        <v>4</v>
      </c>
      <c r="D31" s="399"/>
      <c r="E31" s="399"/>
      <c r="F31" s="399"/>
      <c r="G31" s="400"/>
      <c r="H31" s="299"/>
      <c r="I31" s="299"/>
      <c r="J31" s="299"/>
      <c r="K31" s="299"/>
      <c r="L31" s="299"/>
      <c r="M31" s="299"/>
      <c r="N31" s="299"/>
      <c r="O31" s="299"/>
      <c r="P31" s="190"/>
    </row>
    <row r="32" spans="1:29" ht="13.8">
      <c r="A32" s="395"/>
      <c r="B32" s="397"/>
      <c r="C32" s="401"/>
      <c r="D32" s="402"/>
      <c r="E32" s="402"/>
      <c r="F32" s="402"/>
      <c r="G32" s="403"/>
      <c r="H32" s="299"/>
      <c r="I32" s="299"/>
      <c r="J32" s="299"/>
      <c r="K32" s="299"/>
      <c r="L32" s="299"/>
      <c r="M32" s="299"/>
      <c r="N32" s="299"/>
      <c r="O32" s="299"/>
      <c r="P32" s="199"/>
    </row>
    <row r="33" spans="1:16" ht="13.8">
      <c r="A33" s="395"/>
      <c r="B33" s="397"/>
      <c r="C33" s="404"/>
      <c r="D33" s="405"/>
      <c r="E33" s="405"/>
      <c r="F33" s="405"/>
      <c r="G33" s="406"/>
      <c r="H33" s="299"/>
      <c r="I33" s="299"/>
      <c r="J33" s="299"/>
      <c r="K33" s="299"/>
      <c r="L33" s="299"/>
      <c r="M33" s="299"/>
      <c r="N33" s="299"/>
      <c r="O33" s="299"/>
      <c r="P33" s="199"/>
    </row>
    <row r="34" spans="1:16" ht="13.8">
      <c r="A34" s="396"/>
      <c r="B34" s="397"/>
      <c r="C34" s="301">
        <v>2032</v>
      </c>
      <c r="D34" s="301">
        <f t="shared" ref="D34:D35" si="10">C34+1</f>
        <v>2033</v>
      </c>
      <c r="E34" s="301">
        <f t="shared" ref="E34:E35" si="11">D34+1</f>
        <v>2034</v>
      </c>
      <c r="F34" s="301">
        <f t="shared" ref="F34:F35" si="12">E34+1</f>
        <v>2035</v>
      </c>
      <c r="G34" s="301">
        <f t="shared" ref="G34:G35" si="13">F34+1</f>
        <v>2036</v>
      </c>
      <c r="H34" s="302"/>
      <c r="I34" s="302"/>
      <c r="J34" s="310"/>
      <c r="K34" s="310"/>
      <c r="L34" s="302"/>
      <c r="M34" s="302"/>
      <c r="N34" s="302"/>
      <c r="O34" s="300"/>
    </row>
    <row r="35" spans="1:16" ht="13.8">
      <c r="A35" s="293">
        <v>0</v>
      </c>
      <c r="B35" s="294" t="s">
        <v>5</v>
      </c>
      <c r="C35" s="301">
        <v>12</v>
      </c>
      <c r="D35" s="301">
        <f t="shared" si="10"/>
        <v>13</v>
      </c>
      <c r="E35" s="301">
        <f t="shared" si="11"/>
        <v>14</v>
      </c>
      <c r="F35" s="301">
        <f t="shared" si="12"/>
        <v>15</v>
      </c>
      <c r="G35" s="301">
        <f t="shared" si="13"/>
        <v>16</v>
      </c>
      <c r="H35" s="302"/>
      <c r="I35" s="302"/>
      <c r="J35" s="310"/>
      <c r="K35" s="310"/>
      <c r="L35" s="302"/>
      <c r="M35" s="302"/>
      <c r="N35" s="302"/>
      <c r="O35" s="300"/>
    </row>
    <row r="36" spans="1:16" ht="13.8">
      <c r="A36" s="293">
        <v>1</v>
      </c>
      <c r="B36" s="295" t="s">
        <v>12</v>
      </c>
      <c r="C36" s="296">
        <f>L22</f>
        <v>43705.114529999999</v>
      </c>
      <c r="D36" s="296">
        <f t="shared" ref="D36:D37" si="14">N22</f>
        <v>43705.114529999999</v>
      </c>
      <c r="E36" s="296">
        <f t="shared" ref="E36:E37" si="15">O22</f>
        <v>43705.114529999999</v>
      </c>
      <c r="F36" s="296">
        <f t="shared" ref="F36:F37" si="16">P22</f>
        <v>43705.114529999999</v>
      </c>
      <c r="G36" s="296">
        <f t="shared" ref="G36:G37" si="17">Q22</f>
        <v>43705.114529999999</v>
      </c>
      <c r="H36" s="303"/>
      <c r="I36" s="303"/>
      <c r="J36" s="303"/>
      <c r="K36" s="303"/>
      <c r="L36" s="303"/>
      <c r="M36" s="303"/>
      <c r="N36" s="303"/>
      <c r="O36" s="300"/>
    </row>
    <row r="37" spans="1:16" ht="27.6">
      <c r="A37" s="293">
        <v>2</v>
      </c>
      <c r="B37" s="297" t="s">
        <v>13</v>
      </c>
      <c r="C37" s="296">
        <f>L23</f>
        <v>13111.534358999999</v>
      </c>
      <c r="D37" s="296">
        <f t="shared" si="14"/>
        <v>13111.534358999999</v>
      </c>
      <c r="E37" s="296">
        <f t="shared" si="15"/>
        <v>13111.534358999999</v>
      </c>
      <c r="F37" s="296">
        <f t="shared" si="16"/>
        <v>13111.534358999999</v>
      </c>
      <c r="G37" s="296">
        <f t="shared" si="17"/>
        <v>13111.534358999999</v>
      </c>
      <c r="H37" s="303"/>
      <c r="I37" s="303"/>
      <c r="J37" s="303"/>
      <c r="K37" s="303"/>
      <c r="L37" s="303"/>
      <c r="M37" s="303"/>
      <c r="N37" s="303"/>
      <c r="O37" s="300"/>
    </row>
    <row r="38" spans="1:16" ht="27.6">
      <c r="A38" s="293">
        <v>3</v>
      </c>
      <c r="B38" s="297" t="s">
        <v>14</v>
      </c>
      <c r="C38" s="296">
        <f>C39+C40</f>
        <v>3836.5561573642244</v>
      </c>
      <c r="D38" s="296">
        <f>D39+D40</f>
        <v>2603.1188709743915</v>
      </c>
      <c r="E38" s="296">
        <f t="shared" ref="E38:G38" si="18">E39+E40</f>
        <v>1944.6848564814838</v>
      </c>
      <c r="F38" s="296">
        <f t="shared" si="18"/>
        <v>1814.0351342592617</v>
      </c>
      <c r="G38" s="296">
        <f t="shared" si="18"/>
        <v>575.7047638888896</v>
      </c>
      <c r="H38" s="303"/>
      <c r="I38" s="303"/>
      <c r="J38" s="303"/>
      <c r="K38" s="303"/>
      <c r="L38" s="303"/>
      <c r="M38" s="303"/>
      <c r="N38" s="303"/>
      <c r="O38" s="300"/>
    </row>
    <row r="39" spans="1:16" ht="13.8">
      <c r="A39" s="293">
        <v>4</v>
      </c>
      <c r="B39" s="297" t="s">
        <v>15</v>
      </c>
      <c r="C39" s="296">
        <f>centralizator!P55</f>
        <v>3233.9387200000001</v>
      </c>
      <c r="D39" s="296">
        <f>centralizator!Q55</f>
        <v>2219.5933600000003</v>
      </c>
      <c r="E39" s="296">
        <f>centralizator!R55</f>
        <v>1700.0000000000002</v>
      </c>
      <c r="F39" s="296">
        <f>centralizator!S55</f>
        <v>1700.0000000000002</v>
      </c>
      <c r="G39" s="296">
        <f>centralizator!T55</f>
        <v>566.66666666666663</v>
      </c>
      <c r="H39" s="303"/>
      <c r="I39" s="303"/>
      <c r="J39" s="303"/>
      <c r="K39" s="303"/>
      <c r="L39" s="303"/>
      <c r="M39" s="303"/>
      <c r="N39" s="303"/>
      <c r="O39" s="300"/>
    </row>
    <row r="40" spans="1:16" ht="13.8">
      <c r="A40" s="293">
        <v>5</v>
      </c>
      <c r="B40" s="297" t="s">
        <v>16</v>
      </c>
      <c r="C40" s="296">
        <f>centralizator!P56</f>
        <v>602.61743736422443</v>
      </c>
      <c r="D40" s="296">
        <f>centralizator!Q56</f>
        <v>383.52551097439101</v>
      </c>
      <c r="E40" s="296">
        <f>centralizator!R56</f>
        <v>244.68485648148359</v>
      </c>
      <c r="F40" s="296">
        <f>centralizator!S56</f>
        <v>114.03513425926144</v>
      </c>
      <c r="G40" s="296">
        <f>centralizator!T56</f>
        <v>9.0380972222229392</v>
      </c>
      <c r="H40" s="303"/>
      <c r="I40" s="303"/>
      <c r="J40" s="303"/>
      <c r="K40" s="303"/>
      <c r="L40" s="303"/>
      <c r="M40" s="303"/>
      <c r="N40" s="303"/>
      <c r="O40" s="300"/>
    </row>
    <row r="41" spans="1:16" ht="13.8">
      <c r="A41" s="293">
        <v>6</v>
      </c>
      <c r="B41" s="297" t="s">
        <v>17</v>
      </c>
      <c r="C41" s="296">
        <f>centralizator!N57</f>
        <v>0</v>
      </c>
      <c r="D41" s="296">
        <f>centralizator!O57</f>
        <v>0</v>
      </c>
      <c r="E41" s="296">
        <f>centralizator!P57</f>
        <v>0</v>
      </c>
      <c r="F41" s="296">
        <f>centralizator!Q57</f>
        <v>0</v>
      </c>
      <c r="G41" s="296">
        <f>centralizator!R57</f>
        <v>0</v>
      </c>
      <c r="H41" s="303"/>
      <c r="I41" s="303"/>
      <c r="J41" s="303"/>
      <c r="K41" s="303"/>
      <c r="L41" s="303"/>
      <c r="M41" s="303"/>
      <c r="N41" s="303"/>
      <c r="O41" s="300"/>
    </row>
    <row r="42" spans="1:16" ht="27.6">
      <c r="A42" s="293">
        <v>7</v>
      </c>
      <c r="B42" s="297" t="s">
        <v>18</v>
      </c>
      <c r="C42" s="298">
        <f>C38/C36</f>
        <v>8.7782773220528715E-2</v>
      </c>
      <c r="D42" s="298">
        <f>D38/D36</f>
        <v>5.9560966696187524E-2</v>
      </c>
      <c r="E42" s="298">
        <f t="shared" ref="E42:G42" si="19">E38/E36</f>
        <v>4.449558998745138E-2</v>
      </c>
      <c r="F42" s="298">
        <f t="shared" si="19"/>
        <v>4.1506243691778327E-2</v>
      </c>
      <c r="G42" s="298">
        <f t="shared" si="19"/>
        <v>1.3172480385418397E-2</v>
      </c>
      <c r="H42" s="304"/>
      <c r="I42" s="304"/>
      <c r="J42" s="304"/>
      <c r="K42" s="304"/>
      <c r="L42" s="304"/>
      <c r="M42" s="304"/>
      <c r="N42" s="304"/>
      <c r="O42" s="300"/>
    </row>
    <row r="43" spans="1:16" ht="13.8">
      <c r="B43" s="367" t="s">
        <v>220</v>
      </c>
    </row>
    <row r="45" spans="1:16" ht="15">
      <c r="B45" s="290" t="s">
        <v>59</v>
      </c>
      <c r="C45" s="229"/>
      <c r="D45" s="408"/>
      <c r="E45" s="408"/>
      <c r="F45" s="408"/>
      <c r="G45" s="408"/>
      <c r="H45" s="407" t="s">
        <v>137</v>
      </c>
      <c r="I45" s="407"/>
      <c r="J45" s="407"/>
      <c r="K45" s="407"/>
      <c r="L45" s="407"/>
      <c r="M45" s="407"/>
      <c r="N45" s="289"/>
      <c r="O45" s="229"/>
    </row>
    <row r="46" spans="1:16" ht="15">
      <c r="B46" s="291" t="s">
        <v>60</v>
      </c>
      <c r="C46" s="229"/>
      <c r="D46" s="408"/>
      <c r="E46" s="408"/>
      <c r="F46" s="408"/>
      <c r="G46" s="289"/>
      <c r="H46" s="289"/>
      <c r="I46" s="289"/>
      <c r="J46" s="289"/>
      <c r="K46" s="290"/>
      <c r="L46" s="290"/>
      <c r="M46" s="290"/>
      <c r="N46" s="289"/>
      <c r="O46" s="229"/>
    </row>
    <row r="47" spans="1:16" ht="15">
      <c r="B47" s="290"/>
      <c r="C47" s="222"/>
      <c r="D47" s="407"/>
      <c r="E47" s="407"/>
      <c r="F47" s="407"/>
      <c r="G47" s="291"/>
      <c r="H47" s="407"/>
      <c r="I47" s="407"/>
      <c r="J47" s="407"/>
      <c r="K47" s="290"/>
      <c r="L47" s="290"/>
      <c r="M47" s="290"/>
      <c r="N47" s="291"/>
      <c r="O47" s="222"/>
    </row>
    <row r="48" spans="1:16" ht="15">
      <c r="B48" s="407" t="s">
        <v>88</v>
      </c>
      <c r="C48" s="407"/>
      <c r="D48" s="407"/>
      <c r="E48" s="407"/>
      <c r="F48" s="407"/>
      <c r="G48" s="290"/>
      <c r="H48" s="407" t="s">
        <v>89</v>
      </c>
      <c r="I48" s="407"/>
      <c r="J48" s="290"/>
      <c r="K48" s="407"/>
      <c r="L48" s="407"/>
      <c r="M48" s="290"/>
      <c r="N48" s="290"/>
    </row>
    <row r="52" spans="7:9">
      <c r="I52" s="197"/>
    </row>
    <row r="53" spans="7:9">
      <c r="I53" s="197"/>
    </row>
    <row r="54" spans="7:9">
      <c r="G54" s="197">
        <f>SUM(C38:G38)</f>
        <v>10774.099782968251</v>
      </c>
      <c r="I54" s="197"/>
    </row>
    <row r="55" spans="7:9">
      <c r="G55" s="197">
        <f>SUM(F24:M24)</f>
        <v>69870.365392437889</v>
      </c>
    </row>
    <row r="56" spans="7:9">
      <c r="G56" s="197">
        <f>G54+G55</f>
        <v>80644.465175406134</v>
      </c>
    </row>
    <row r="57" spans="7:9">
      <c r="G57" s="197">
        <f>G56-centralizator!W60</f>
        <v>0</v>
      </c>
    </row>
  </sheetData>
  <mergeCells count="26">
    <mergeCell ref="B48:C48"/>
    <mergeCell ref="H48:I48"/>
    <mergeCell ref="K48:L48"/>
    <mergeCell ref="H45:J45"/>
    <mergeCell ref="D46:F46"/>
    <mergeCell ref="D47:F47"/>
    <mergeCell ref="H47:J47"/>
    <mergeCell ref="K45:M45"/>
    <mergeCell ref="D45:G45"/>
    <mergeCell ref="D48:F48"/>
    <mergeCell ref="F17:M19"/>
    <mergeCell ref="A31:A34"/>
    <mergeCell ref="B31:B34"/>
    <mergeCell ref="A17:A20"/>
    <mergeCell ref="B17:B20"/>
    <mergeCell ref="C17:C20"/>
    <mergeCell ref="D17:D20"/>
    <mergeCell ref="E17:E20"/>
    <mergeCell ref="C31:G33"/>
    <mergeCell ref="D15:J15"/>
    <mergeCell ref="A14:M14"/>
    <mergeCell ref="L3:M3"/>
    <mergeCell ref="A12:O12"/>
    <mergeCell ref="A13:O13"/>
    <mergeCell ref="D2:H3"/>
    <mergeCell ref="E5:G6"/>
  </mergeCells>
  <pageMargins left="0.5" right="0" top="0.59055118110236204" bottom="0.39370078740157499" header="0.511811023622047" footer="0.511811023622047"/>
  <pageSetup scale="7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3:AD79"/>
  <sheetViews>
    <sheetView tabSelected="1" view="pageBreakPreview" zoomScaleSheetLayoutView="100" workbookViewId="0">
      <selection activeCell="A5" sqref="A5"/>
    </sheetView>
  </sheetViews>
  <sheetFormatPr defaultColWidth="10.6640625" defaultRowHeight="13.2"/>
  <cols>
    <col min="1" max="1" width="5.77734375" style="153" customWidth="1"/>
    <col min="2" max="2" width="66.109375" style="154" customWidth="1"/>
    <col min="3" max="3" width="4.33203125" style="154" customWidth="1"/>
    <col min="4" max="4" width="10.77734375" style="154" hidden="1" customWidth="1"/>
    <col min="5" max="5" width="12" style="154" hidden="1" customWidth="1"/>
    <col min="6" max="6" width="13.109375" style="154" bestFit="1" customWidth="1"/>
    <col min="7" max="7" width="12.77734375" style="154" bestFit="1" customWidth="1"/>
    <col min="8" max="8" width="13.109375" style="154" bestFit="1" customWidth="1"/>
    <col min="9" max="9" width="12.77734375" style="154" bestFit="1" customWidth="1"/>
    <col min="10" max="11" width="13.77734375" style="154" bestFit="1" customWidth="1"/>
    <col min="12" max="12" width="13.109375" style="154" bestFit="1" customWidth="1"/>
    <col min="13" max="13" width="5.44140625" style="154" customWidth="1"/>
    <col min="14" max="14" width="66" style="154" customWidth="1"/>
    <col min="15" max="16" width="12.77734375" style="154" bestFit="1" customWidth="1"/>
    <col min="17" max="18" width="12.109375" style="154" bestFit="1" customWidth="1"/>
    <col min="19" max="19" width="10.77734375" style="154" bestFit="1" customWidth="1"/>
    <col min="20" max="20" width="10.6640625" style="154" bestFit="1" customWidth="1"/>
    <col min="21" max="22" width="11" style="154" bestFit="1" customWidth="1"/>
    <col min="23" max="23" width="10.6640625" style="154" bestFit="1" customWidth="1"/>
    <col min="24" max="24" width="11.109375" style="154" customWidth="1"/>
    <col min="25" max="25" width="10.77734375" style="154" bestFit="1" customWidth="1"/>
    <col min="26" max="26" width="10.44140625" style="154" bestFit="1" customWidth="1"/>
    <col min="27" max="27" width="12" style="154" bestFit="1" customWidth="1"/>
    <col min="28" max="28" width="14.44140625" style="154" bestFit="1" customWidth="1"/>
    <col min="29" max="29" width="12" style="156" bestFit="1" customWidth="1"/>
    <col min="30" max="30" width="17.44140625" style="154" bestFit="1" customWidth="1"/>
    <col min="31" max="16384" width="10.6640625" style="154"/>
  </cols>
  <sheetData>
    <row r="3" spans="1:30" ht="12.75" customHeight="1">
      <c r="K3" s="154" t="s">
        <v>160</v>
      </c>
      <c r="X3" s="154" t="s">
        <v>161</v>
      </c>
      <c r="Y3" s="155"/>
    </row>
    <row r="4" spans="1:30" ht="18" customHeight="1">
      <c r="A4" s="418" t="s">
        <v>224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288"/>
      <c r="N4" s="418" t="str">
        <f>A4</f>
        <v xml:space="preserve">SITUATIE privind serviciul datoriei publice locale al Orasului Sinaia in perioada 2024-2036 
</v>
      </c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163"/>
    </row>
    <row r="5" spans="1:30" ht="18" customHeight="1">
      <c r="A5" s="163"/>
      <c r="B5" s="426" t="s">
        <v>208</v>
      </c>
      <c r="C5" s="418"/>
      <c r="D5" s="418"/>
      <c r="E5" s="418"/>
      <c r="F5" s="418"/>
      <c r="G5" s="418"/>
      <c r="H5" s="418"/>
      <c r="I5" s="418"/>
      <c r="J5" s="418"/>
      <c r="K5" s="418"/>
      <c r="L5" s="163"/>
      <c r="M5" s="288"/>
      <c r="N5" s="426" t="s">
        <v>208</v>
      </c>
      <c r="O5" s="426"/>
      <c r="P5" s="426"/>
      <c r="Q5" s="426"/>
      <c r="R5" s="426"/>
      <c r="S5" s="426"/>
      <c r="T5" s="426"/>
      <c r="U5" s="426"/>
      <c r="V5" s="426"/>
      <c r="W5" s="163"/>
      <c r="X5" s="163"/>
      <c r="Y5" s="163"/>
    </row>
    <row r="6" spans="1:30" ht="6.75" customHeight="1"/>
    <row r="7" spans="1:30">
      <c r="A7" s="419" t="s">
        <v>61</v>
      </c>
      <c r="B7" s="420" t="s">
        <v>14</v>
      </c>
      <c r="C7" s="422" t="s">
        <v>62</v>
      </c>
      <c r="D7" s="423"/>
      <c r="E7" s="423"/>
      <c r="F7" s="423"/>
      <c r="G7" s="423"/>
      <c r="H7" s="423"/>
      <c r="I7" s="423"/>
      <c r="J7" s="423"/>
      <c r="K7" s="423"/>
      <c r="L7" s="424"/>
      <c r="M7" s="425" t="s">
        <v>61</v>
      </c>
      <c r="N7" s="420" t="s">
        <v>14</v>
      </c>
      <c r="O7" s="422" t="s">
        <v>62</v>
      </c>
      <c r="P7" s="423"/>
      <c r="Q7" s="423"/>
      <c r="R7" s="423"/>
      <c r="S7" s="423"/>
      <c r="T7" s="423"/>
      <c r="U7" s="423"/>
      <c r="V7" s="423"/>
      <c r="W7" s="423"/>
      <c r="X7" s="423"/>
      <c r="Y7" s="423"/>
      <c r="Z7" s="424"/>
    </row>
    <row r="8" spans="1:30">
      <c r="A8" s="419"/>
      <c r="B8" s="421"/>
      <c r="C8" s="157"/>
      <c r="D8" s="157">
        <v>2012</v>
      </c>
      <c r="E8" s="157">
        <v>2018</v>
      </c>
      <c r="F8" s="157">
        <v>2024</v>
      </c>
      <c r="G8" s="157">
        <f t="shared" ref="G8:L8" si="0">F8+1</f>
        <v>2025</v>
      </c>
      <c r="H8" s="157">
        <f t="shared" si="0"/>
        <v>2026</v>
      </c>
      <c r="I8" s="157">
        <f t="shared" si="0"/>
        <v>2027</v>
      </c>
      <c r="J8" s="157">
        <f t="shared" si="0"/>
        <v>2028</v>
      </c>
      <c r="K8" s="157">
        <f t="shared" si="0"/>
        <v>2029</v>
      </c>
      <c r="L8" s="157">
        <f t="shared" si="0"/>
        <v>2030</v>
      </c>
      <c r="M8" s="425"/>
      <c r="N8" s="421"/>
      <c r="O8" s="157">
        <v>2031</v>
      </c>
      <c r="P8" s="157">
        <f>O8+1</f>
        <v>2032</v>
      </c>
      <c r="Q8" s="157">
        <f>P8+1</f>
        <v>2033</v>
      </c>
      <c r="R8" s="157">
        <f>Q8+1</f>
        <v>2034</v>
      </c>
      <c r="S8" s="157">
        <f t="shared" ref="S8:T8" si="1">R8+1</f>
        <v>2035</v>
      </c>
      <c r="T8" s="157">
        <f t="shared" si="1"/>
        <v>2036</v>
      </c>
      <c r="U8" s="157"/>
      <c r="V8" s="157"/>
      <c r="W8" s="157"/>
      <c r="X8" s="157"/>
      <c r="Y8" s="157"/>
      <c r="Z8" s="157"/>
    </row>
    <row r="9" spans="1:30" ht="26.25" customHeight="1">
      <c r="A9" s="409">
        <v>1</v>
      </c>
      <c r="B9" s="158" t="s">
        <v>63</v>
      </c>
      <c r="C9" s="159"/>
      <c r="D9" s="159" t="e">
        <f>SUM(D10:D12)</f>
        <v>#REF!</v>
      </c>
      <c r="E9" s="159" t="e">
        <f t="shared" ref="E9:K9" si="2">SUM(E10:E12)</f>
        <v>#REF!</v>
      </c>
      <c r="F9" s="159">
        <f t="shared" si="2"/>
        <v>10368.874512881623</v>
      </c>
      <c r="G9" s="159">
        <f t="shared" si="2"/>
        <v>8875.1843433191025</v>
      </c>
      <c r="H9" s="159">
        <f t="shared" si="2"/>
        <v>7503.6290145250368</v>
      </c>
      <c r="I9" s="159">
        <f t="shared" si="2"/>
        <v>6876.378091310019</v>
      </c>
      <c r="J9" s="159">
        <f t="shared" si="2"/>
        <v>6275.2675408660634</v>
      </c>
      <c r="K9" s="159">
        <f t="shared" si="2"/>
        <v>5717.0927015767302</v>
      </c>
      <c r="L9" s="159">
        <f>SUM(L10:L12)</f>
        <v>4934.4839835763296</v>
      </c>
      <c r="M9" s="409">
        <v>1</v>
      </c>
      <c r="N9" s="158" t="str">
        <f t="shared" ref="N9:N64" si="3">B9</f>
        <v>Serviciul datoriei publice locale pentru imprumuturile si garantiile existente (a1+b1+c1)</v>
      </c>
      <c r="O9" s="159">
        <f t="shared" ref="O9:Q9" si="4">SUM(O10:O12)</f>
        <v>3135.4748016052022</v>
      </c>
      <c r="P9" s="159">
        <f t="shared" si="4"/>
        <v>1629.0505925494072</v>
      </c>
      <c r="Q9" s="159">
        <f t="shared" si="4"/>
        <v>527.78429227068523</v>
      </c>
      <c r="R9" s="159">
        <f t="shared" ref="R9:S9" si="5">SUM(R10:R12)</f>
        <v>0</v>
      </c>
      <c r="S9" s="159">
        <f t="shared" si="5"/>
        <v>0</v>
      </c>
      <c r="T9" s="159"/>
      <c r="U9" s="159"/>
      <c r="V9" s="159"/>
      <c r="W9" s="159"/>
      <c r="X9" s="159"/>
      <c r="Y9" s="159"/>
      <c r="Z9" s="159"/>
      <c r="AB9" s="160">
        <f>SUM(O9:S9)+SUM(F9:L9)</f>
        <v>55843.219874480201</v>
      </c>
    </row>
    <row r="10" spans="1:30" ht="26.4">
      <c r="A10" s="410"/>
      <c r="B10" s="161" t="s">
        <v>212</v>
      </c>
      <c r="C10" s="159"/>
      <c r="D10" s="159" t="e">
        <f>#REF!+#REF!+#REF!+#REF!</f>
        <v>#REF!</v>
      </c>
      <c r="E10" s="159" t="e">
        <f>#REF!+E14+E18+#REF!+E22</f>
        <v>#REF!</v>
      </c>
      <c r="F10" s="159">
        <f>F14+F18+F22+F26+F30+F34+F38+F42+F46</f>
        <v>7349.6880800476902</v>
      </c>
      <c r="G10" s="159">
        <f t="shared" ref="G10:L10" si="6">G14+G18+G22+G26+G30+G34+G38+G42+G46</f>
        <v>6405.2850600476904</v>
      </c>
      <c r="H10" s="159">
        <f t="shared" si="6"/>
        <v>5460.8860400476915</v>
      </c>
      <c r="I10" s="159">
        <f t="shared" si="6"/>
        <v>5237.6616230236905</v>
      </c>
      <c r="J10" s="159">
        <f t="shared" si="6"/>
        <v>5014.2291440476911</v>
      </c>
      <c r="K10" s="159">
        <f t="shared" si="6"/>
        <v>4832.2952824237582</v>
      </c>
      <c r="L10" s="159">
        <f t="shared" si="6"/>
        <v>4401.1082477683676</v>
      </c>
      <c r="M10" s="410"/>
      <c r="N10" s="161" t="str">
        <f t="shared" si="3"/>
        <v>a1) Rambursarea imprumutului (a1.1+a1.2+a1.3+a1.4+a1.5+a1.6+a1.7+a1.8+a1.9)</v>
      </c>
      <c r="O10" s="159">
        <f>O14+O18+O22+O26+O30+O34+O38+O42+O46</f>
        <v>2895.3600779267372</v>
      </c>
      <c r="P10" s="159">
        <f>P14+P18+P22+P26+P30+P34+P38+P42+P46</f>
        <v>1533.9387199999999</v>
      </c>
      <c r="Q10" s="159">
        <f t="shared" ref="Q10:S10" si="7">Q14+Q18+Q22+Q26+Q30+Q34+Q38+Q42</f>
        <v>519.59335999999996</v>
      </c>
      <c r="R10" s="159">
        <f t="shared" si="7"/>
        <v>0</v>
      </c>
      <c r="S10" s="159">
        <f t="shared" si="7"/>
        <v>0</v>
      </c>
      <c r="T10" s="159"/>
      <c r="U10" s="159"/>
      <c r="V10" s="159"/>
      <c r="W10" s="159"/>
      <c r="X10" s="159"/>
      <c r="Y10" s="159"/>
      <c r="Z10" s="159"/>
      <c r="AB10" s="160"/>
    </row>
    <row r="11" spans="1:30" ht="14.25" customHeight="1">
      <c r="A11" s="410"/>
      <c r="B11" s="161" t="s">
        <v>214</v>
      </c>
      <c r="C11" s="159"/>
      <c r="D11" s="159" t="e">
        <f>#REF!+#REF!+#REF!+#REF!</f>
        <v>#REF!</v>
      </c>
      <c r="E11" s="159" t="e">
        <f>#REF!+E15+E19+#REF!+E23</f>
        <v>#REF!</v>
      </c>
      <c r="F11" s="159">
        <f t="shared" ref="F11:L12" si="8">F15+F19+F23+F27+F31+F35+F39+F43+F47</f>
        <v>3019.1864328339325</v>
      </c>
      <c r="G11" s="159">
        <f t="shared" si="8"/>
        <v>2469.8992832714121</v>
      </c>
      <c r="H11" s="159">
        <f t="shared" si="8"/>
        <v>2042.7429744773458</v>
      </c>
      <c r="I11" s="159">
        <f t="shared" si="8"/>
        <v>1638.7164682863288</v>
      </c>
      <c r="J11" s="159">
        <f t="shared" si="8"/>
        <v>1261.0383968183723</v>
      </c>
      <c r="K11" s="159">
        <f t="shared" si="8"/>
        <v>884.79741915297222</v>
      </c>
      <c r="L11" s="159">
        <f t="shared" si="8"/>
        <v>533.37573580796209</v>
      </c>
      <c r="M11" s="410"/>
      <c r="N11" s="161" t="str">
        <f t="shared" si="3"/>
        <v>b1) Dobanzi (b1.1+b1.2+b1.3+b1.4+b1.5+b1.6+a1.7+b1.8+b1.9)</v>
      </c>
      <c r="O11" s="159">
        <f>O15+O19+O23+O27+O31+O35+O39+O43+O47</f>
        <v>240.11472367846517</v>
      </c>
      <c r="P11" s="159">
        <f>P15+P19+P23+P27+P31+P35+P39+P43+P47</f>
        <v>95.111872549407167</v>
      </c>
      <c r="Q11" s="159">
        <f t="shared" ref="Q11:S11" si="9">Q15+Q19+Q23+Q27+Q31+Q35+Q39+Q43</f>
        <v>8.1909322706852254</v>
      </c>
      <c r="R11" s="159">
        <f t="shared" si="9"/>
        <v>0</v>
      </c>
      <c r="S11" s="159">
        <f t="shared" si="9"/>
        <v>0</v>
      </c>
      <c r="T11" s="159">
        <f t="shared" ref="T11" si="10">T15+T19+T23+T27+T31+T35+T38+T42</f>
        <v>0</v>
      </c>
      <c r="U11" s="159"/>
      <c r="V11" s="159"/>
      <c r="W11" s="159"/>
      <c r="X11" s="159"/>
      <c r="Y11" s="159"/>
      <c r="Z11" s="159"/>
      <c r="AB11" s="160"/>
    </row>
    <row r="12" spans="1:30" s="156" customFormat="1" ht="15.75" customHeight="1">
      <c r="A12" s="411"/>
      <c r="B12" s="161" t="s">
        <v>213</v>
      </c>
      <c r="C12" s="159"/>
      <c r="D12" s="159" t="e">
        <f>#REF!+#REF!+#REF!+#REF!</f>
        <v>#REF!</v>
      </c>
      <c r="E12" s="159" t="e">
        <f>#REF!+E16+E20+#REF!+E24</f>
        <v>#REF!</v>
      </c>
      <c r="F12" s="159">
        <f t="shared" si="8"/>
        <v>0</v>
      </c>
      <c r="G12" s="159">
        <f t="shared" si="8"/>
        <v>0</v>
      </c>
      <c r="H12" s="159">
        <f t="shared" si="8"/>
        <v>0</v>
      </c>
      <c r="I12" s="159">
        <f t="shared" si="8"/>
        <v>0</v>
      </c>
      <c r="J12" s="159">
        <f t="shared" si="8"/>
        <v>0</v>
      </c>
      <c r="K12" s="159">
        <f t="shared" si="8"/>
        <v>0</v>
      </c>
      <c r="L12" s="159">
        <f t="shared" si="8"/>
        <v>0</v>
      </c>
      <c r="M12" s="411"/>
      <c r="N12" s="161" t="str">
        <f t="shared" si="3"/>
        <v>c1) Comisioane (c1.1+c1.2+c1.3+c1.4+c1.5+c1.6+c1.7+c1.8+c1.9)</v>
      </c>
      <c r="O12" s="159">
        <f>O16+O20+O24+O28+O32+O36</f>
        <v>0</v>
      </c>
      <c r="P12" s="159">
        <f t="shared" ref="P12:S12" si="11">P16+P20+P24+P28+P32+P36</f>
        <v>0</v>
      </c>
      <c r="Q12" s="159">
        <f t="shared" si="11"/>
        <v>0</v>
      </c>
      <c r="R12" s="159">
        <f t="shared" si="11"/>
        <v>0</v>
      </c>
      <c r="S12" s="159">
        <f t="shared" si="11"/>
        <v>0</v>
      </c>
      <c r="T12" s="159"/>
      <c r="U12" s="159"/>
      <c r="V12" s="159"/>
      <c r="W12" s="159"/>
      <c r="X12" s="159"/>
      <c r="Y12" s="159"/>
      <c r="Z12" s="159"/>
      <c r="AA12" s="154"/>
      <c r="AB12" s="160"/>
      <c r="AD12" s="154"/>
    </row>
    <row r="13" spans="1:30" s="361" customFormat="1" ht="26.25" customHeight="1">
      <c r="A13" s="412" t="s">
        <v>64</v>
      </c>
      <c r="B13" s="189" t="s">
        <v>162</v>
      </c>
      <c r="C13" s="358"/>
      <c r="D13" s="358" t="e">
        <f t="shared" ref="D13:L13" si="12">SUM(D14:D16)</f>
        <v>#REF!</v>
      </c>
      <c r="E13" s="358">
        <f t="shared" si="12"/>
        <v>0</v>
      </c>
      <c r="F13" s="358">
        <f t="shared" si="12"/>
        <v>537.48390046883844</v>
      </c>
      <c r="G13" s="358">
        <f t="shared" si="12"/>
        <v>508.22289243204273</v>
      </c>
      <c r="H13" s="358">
        <f t="shared" si="12"/>
        <v>479.2398227360427</v>
      </c>
      <c r="I13" s="358">
        <f t="shared" si="12"/>
        <v>228.0008942394029</v>
      </c>
      <c r="J13" s="358">
        <f t="shared" si="12"/>
        <v>0</v>
      </c>
      <c r="K13" s="358">
        <f t="shared" si="12"/>
        <v>0</v>
      </c>
      <c r="L13" s="358">
        <f t="shared" si="12"/>
        <v>0</v>
      </c>
      <c r="M13" s="412" t="s">
        <v>64</v>
      </c>
      <c r="N13" s="189" t="str">
        <f t="shared" si="3"/>
        <v>Serviciul datoriei publice locale pentru credit BRD Group SG (1.190.135,95 eur) (a1.2+b1.2+c1.2)</v>
      </c>
      <c r="O13" s="358">
        <f t="shared" ref="O13:S13" si="13">SUM(O14:O16)</f>
        <v>0</v>
      </c>
      <c r="P13" s="358">
        <f t="shared" si="13"/>
        <v>0</v>
      </c>
      <c r="Q13" s="358">
        <f t="shared" si="13"/>
        <v>0</v>
      </c>
      <c r="R13" s="358">
        <f t="shared" si="13"/>
        <v>0</v>
      </c>
      <c r="S13" s="358">
        <f t="shared" si="13"/>
        <v>0</v>
      </c>
      <c r="T13" s="358"/>
      <c r="U13" s="358"/>
      <c r="V13" s="358"/>
      <c r="W13" s="358"/>
      <c r="X13" s="358"/>
      <c r="Y13" s="358"/>
      <c r="Z13" s="358"/>
      <c r="AA13" s="359"/>
      <c r="AB13" s="160">
        <f>SUM(O13:S13)+SUM(F13:L13)</f>
        <v>1752.9475098763269</v>
      </c>
      <c r="AD13" s="359"/>
    </row>
    <row r="14" spans="1:30" s="359" customFormat="1">
      <c r="A14" s="413"/>
      <c r="B14" s="362" t="s">
        <v>65</v>
      </c>
      <c r="C14" s="358"/>
      <c r="D14" s="358" t="e">
        <f>'[16]centralizare credite'!E2</f>
        <v>#REF!</v>
      </c>
      <c r="E14" s="358">
        <f>centralizator!D16</f>
        <v>0</v>
      </c>
      <c r="F14" s="358">
        <f>centralizator!H16</f>
        <v>446.65689600000002</v>
      </c>
      <c r="G14" s="358">
        <f>centralizator!I16</f>
        <v>446.65689600000002</v>
      </c>
      <c r="H14" s="358">
        <f>centralizator!J16</f>
        <v>446.65689600000002</v>
      </c>
      <c r="I14" s="358">
        <f>centralizator!K16</f>
        <v>223.43247897600023</v>
      </c>
      <c r="J14" s="358">
        <f>centralizator!L16</f>
        <v>0</v>
      </c>
      <c r="K14" s="358">
        <f>centralizator!M16</f>
        <v>0</v>
      </c>
      <c r="L14" s="358">
        <f>centralizator!L16</f>
        <v>0</v>
      </c>
      <c r="M14" s="413"/>
      <c r="N14" s="189" t="str">
        <f t="shared" si="3"/>
        <v>a1.1) Rambursarea imprumutului</v>
      </c>
      <c r="O14" s="358"/>
      <c r="P14" s="358"/>
      <c r="Q14" s="358">
        <f>centralizator!L16</f>
        <v>0</v>
      </c>
      <c r="R14" s="358">
        <f>centralizator!M16</f>
        <v>0</v>
      </c>
      <c r="S14" s="358">
        <f>centralizator!N16</f>
        <v>0</v>
      </c>
      <c r="T14" s="358"/>
      <c r="U14" s="358"/>
      <c r="V14" s="358"/>
      <c r="W14" s="358"/>
      <c r="X14" s="358"/>
      <c r="Y14" s="358"/>
      <c r="Z14" s="358"/>
      <c r="AB14" s="360"/>
      <c r="AC14" s="361"/>
      <c r="AD14" s="360"/>
    </row>
    <row r="15" spans="1:30" s="359" customFormat="1">
      <c r="A15" s="413"/>
      <c r="B15" s="362" t="s">
        <v>66</v>
      </c>
      <c r="C15" s="358"/>
      <c r="D15" s="358">
        <f>'[16]centralizare credite'!E3</f>
        <v>2012</v>
      </c>
      <c r="E15" s="358">
        <f>centralizator!D17</f>
        <v>0</v>
      </c>
      <c r="F15" s="358">
        <f>centralizator!H17</f>
        <v>90.827004468838425</v>
      </c>
      <c r="G15" s="358">
        <f>centralizator!I17</f>
        <v>61.565996432042695</v>
      </c>
      <c r="H15" s="358">
        <f>centralizator!J17</f>
        <v>32.58292673604268</v>
      </c>
      <c r="I15" s="358">
        <f>centralizator!K17</f>
        <v>4.568415263402672</v>
      </c>
      <c r="J15" s="358">
        <f>centralizator!L17</f>
        <v>0</v>
      </c>
      <c r="K15" s="358">
        <f>centralizator!M17</f>
        <v>0</v>
      </c>
      <c r="L15" s="358">
        <f>centralizator!L17</f>
        <v>0</v>
      </c>
      <c r="M15" s="413"/>
      <c r="N15" s="189" t="str">
        <f t="shared" si="3"/>
        <v xml:space="preserve">b1.1) Dobanzi </v>
      </c>
      <c r="O15" s="358"/>
      <c r="P15" s="358"/>
      <c r="Q15" s="358">
        <f>centralizator!L17</f>
        <v>0</v>
      </c>
      <c r="R15" s="358">
        <f>centralizator!M17</f>
        <v>0</v>
      </c>
      <c r="S15" s="358">
        <f>centralizator!N17</f>
        <v>0</v>
      </c>
      <c r="T15" s="358"/>
      <c r="U15" s="358"/>
      <c r="V15" s="358"/>
      <c r="W15" s="358"/>
      <c r="X15" s="358"/>
      <c r="Y15" s="358"/>
      <c r="Z15" s="358"/>
      <c r="AB15" s="360"/>
      <c r="AC15" s="361"/>
      <c r="AD15" s="360"/>
    </row>
    <row r="16" spans="1:30" s="359" customFormat="1">
      <c r="A16" s="414"/>
      <c r="B16" s="362" t="s">
        <v>67</v>
      </c>
      <c r="C16" s="358"/>
      <c r="D16" s="358">
        <v>0</v>
      </c>
      <c r="E16" s="358">
        <f>centralizator!D18</f>
        <v>0</v>
      </c>
      <c r="F16" s="358">
        <f>centralizator!H18</f>
        <v>0</v>
      </c>
      <c r="G16" s="358">
        <f>centralizator!I18</f>
        <v>0</v>
      </c>
      <c r="H16" s="358">
        <f>centralizator!J18</f>
        <v>0</v>
      </c>
      <c r="I16" s="358">
        <f>centralizator!K18</f>
        <v>0</v>
      </c>
      <c r="J16" s="358">
        <f>centralizator!L18</f>
        <v>0</v>
      </c>
      <c r="K16" s="358">
        <f>centralizator!M18</f>
        <v>0</v>
      </c>
      <c r="L16" s="358">
        <f>centralizator!L18</f>
        <v>0</v>
      </c>
      <c r="M16" s="414"/>
      <c r="N16" s="189" t="str">
        <f t="shared" si="3"/>
        <v>c1.1) Comisioane</v>
      </c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60"/>
      <c r="AB16" s="360"/>
      <c r="AC16" s="361"/>
      <c r="AD16" s="360"/>
    </row>
    <row r="17" spans="1:30" s="156" customFormat="1" ht="26.25" customHeight="1">
      <c r="A17" s="412" t="s">
        <v>68</v>
      </c>
      <c r="B17" s="161" t="s">
        <v>149</v>
      </c>
      <c r="C17" s="159"/>
      <c r="D17" s="159">
        <f t="shared" ref="D17:L17" si="14">SUM(D18:D20)</f>
        <v>0</v>
      </c>
      <c r="E17" s="159">
        <f t="shared" si="14"/>
        <v>0</v>
      </c>
      <c r="F17" s="159">
        <f t="shared" si="14"/>
        <v>2049.0502786316115</v>
      </c>
      <c r="G17" s="159">
        <f t="shared" si="14"/>
        <v>966.56026437968944</v>
      </c>
      <c r="H17" s="159">
        <f t="shared" si="14"/>
        <v>0</v>
      </c>
      <c r="I17" s="159">
        <f t="shared" si="14"/>
        <v>0</v>
      </c>
      <c r="J17" s="159">
        <f t="shared" si="14"/>
        <v>0</v>
      </c>
      <c r="K17" s="159">
        <f t="shared" si="14"/>
        <v>0</v>
      </c>
      <c r="L17" s="159">
        <f t="shared" si="14"/>
        <v>0</v>
      </c>
      <c r="M17" s="415" t="s">
        <v>68</v>
      </c>
      <c r="N17" s="161" t="str">
        <f>B17</f>
        <v>Serviciul datoriei publice locale pentru garantie BT/Bancpost (17 mio) (a1.3+b1.3+c1.3)</v>
      </c>
      <c r="O17" s="159">
        <f t="shared" ref="O17:S17" si="15">SUM(O18:O20)</f>
        <v>0</v>
      </c>
      <c r="P17" s="159">
        <f t="shared" si="15"/>
        <v>0</v>
      </c>
      <c r="Q17" s="159">
        <f t="shared" si="15"/>
        <v>0</v>
      </c>
      <c r="R17" s="159">
        <f t="shared" si="15"/>
        <v>0</v>
      </c>
      <c r="S17" s="159">
        <f t="shared" si="15"/>
        <v>0</v>
      </c>
      <c r="T17" s="159"/>
      <c r="U17" s="159"/>
      <c r="V17" s="159"/>
      <c r="W17" s="159"/>
      <c r="X17" s="159"/>
      <c r="Y17" s="159"/>
      <c r="Z17" s="159"/>
      <c r="AA17" s="154"/>
      <c r="AB17" s="160">
        <f>SUM(O17:S17)+SUM(F17:L17)</f>
        <v>3015.6105430113012</v>
      </c>
      <c r="AD17" s="154"/>
    </row>
    <row r="18" spans="1:30">
      <c r="A18" s="413"/>
      <c r="B18" s="162" t="s">
        <v>103</v>
      </c>
      <c r="C18" s="159"/>
      <c r="D18" s="159">
        <f>'[16]centralizare credite'!E6</f>
        <v>0</v>
      </c>
      <c r="E18" s="159">
        <f>centralizator!D21</f>
        <v>0</v>
      </c>
      <c r="F18" s="159">
        <f>centralizator!H21</f>
        <v>1888.8020399999998</v>
      </c>
      <c r="G18" s="159">
        <f>centralizator!I21</f>
        <v>944.39902000000018</v>
      </c>
      <c r="H18" s="159">
        <f>centralizator!J21</f>
        <v>0</v>
      </c>
      <c r="I18" s="159">
        <f>centralizator!K21</f>
        <v>0</v>
      </c>
      <c r="J18" s="159">
        <f>centralizator!J21</f>
        <v>0</v>
      </c>
      <c r="K18" s="159">
        <f>centralizator!J21</f>
        <v>0</v>
      </c>
      <c r="L18" s="159">
        <f>centralizator!K21</f>
        <v>0</v>
      </c>
      <c r="M18" s="416"/>
      <c r="N18" s="161" t="str">
        <f>B18</f>
        <v>a1.2) Rambursarea imprumutului</v>
      </c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B18" s="160"/>
      <c r="AD18" s="160"/>
    </row>
    <row r="19" spans="1:30">
      <c r="A19" s="413"/>
      <c r="B19" s="162" t="s">
        <v>104</v>
      </c>
      <c r="C19" s="159"/>
      <c r="D19" s="159">
        <f>'[16]centralizare credite'!E7</f>
        <v>0</v>
      </c>
      <c r="E19" s="159">
        <f>centralizator!D22</f>
        <v>0</v>
      </c>
      <c r="F19" s="159">
        <f>centralizator!H22</f>
        <v>160.2482386316118</v>
      </c>
      <c r="G19" s="159">
        <f>centralizator!I22</f>
        <v>22.161244379689236</v>
      </c>
      <c r="H19" s="159">
        <f>centralizator!J22</f>
        <v>0</v>
      </c>
      <c r="I19" s="159">
        <f>centralizator!K22</f>
        <v>0</v>
      </c>
      <c r="J19" s="159">
        <f>centralizator!J22</f>
        <v>0</v>
      </c>
      <c r="K19" s="159">
        <f>centralizator!J22</f>
        <v>0</v>
      </c>
      <c r="L19" s="159">
        <f>centralizator!K22</f>
        <v>0</v>
      </c>
      <c r="M19" s="416"/>
      <c r="N19" s="161" t="str">
        <f>B19</f>
        <v xml:space="preserve">b1.2) Dobanzi </v>
      </c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B19" s="160"/>
      <c r="AD19" s="160"/>
    </row>
    <row r="20" spans="1:30">
      <c r="A20" s="414"/>
      <c r="B20" s="162" t="s">
        <v>105</v>
      </c>
      <c r="C20" s="159"/>
      <c r="D20" s="159">
        <v>0</v>
      </c>
      <c r="E20" s="159">
        <f>centralizator!D23</f>
        <v>0</v>
      </c>
      <c r="F20" s="159">
        <f>centralizator!H23</f>
        <v>0</v>
      </c>
      <c r="G20" s="159">
        <f>centralizator!I23</f>
        <v>0</v>
      </c>
      <c r="H20" s="159">
        <f>centralizator!J23</f>
        <v>0</v>
      </c>
      <c r="I20" s="159">
        <f>centralizator!K23</f>
        <v>0</v>
      </c>
      <c r="J20" s="159">
        <f>centralizator!J23</f>
        <v>0</v>
      </c>
      <c r="K20" s="159">
        <f>centralizator!J23</f>
        <v>0</v>
      </c>
      <c r="L20" s="159">
        <f>centralizator!K23</f>
        <v>0</v>
      </c>
      <c r="M20" s="417"/>
      <c r="N20" s="161" t="str">
        <f>B20</f>
        <v>c1.2) Comisioane</v>
      </c>
      <c r="O20" s="159">
        <f>centralizator!J27</f>
        <v>0</v>
      </c>
      <c r="P20" s="159">
        <f>centralizator!K27</f>
        <v>0</v>
      </c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60"/>
      <c r="AB20" s="160"/>
      <c r="AD20" s="160"/>
    </row>
    <row r="21" spans="1:30" ht="27" customHeight="1">
      <c r="A21" s="412" t="s">
        <v>69</v>
      </c>
      <c r="B21" s="161" t="s">
        <v>181</v>
      </c>
      <c r="C21" s="159"/>
      <c r="D21" s="159">
        <f>SUM(D22:D24)</f>
        <v>0</v>
      </c>
      <c r="E21" s="159">
        <f t="shared" ref="E21:L21" si="16">SUM(E22:E24)</f>
        <v>0</v>
      </c>
      <c r="F21" s="159">
        <f t="shared" si="16"/>
        <v>1235.6235789498087</v>
      </c>
      <c r="G21" s="159">
        <f t="shared" si="16"/>
        <v>1176.0418893765889</v>
      </c>
      <c r="H21" s="159">
        <f t="shared" si="16"/>
        <v>1117.5289296611845</v>
      </c>
      <c r="I21" s="159">
        <f t="shared" si="16"/>
        <v>1059.0159699457802</v>
      </c>
      <c r="J21" s="159">
        <f t="shared" si="16"/>
        <v>1000.930502173502</v>
      </c>
      <c r="K21" s="159">
        <f t="shared" si="16"/>
        <v>941.99005051497147</v>
      </c>
      <c r="L21" s="159">
        <f t="shared" si="16"/>
        <v>668.07169949775789</v>
      </c>
      <c r="M21" s="415" t="s">
        <v>69</v>
      </c>
      <c r="N21" s="161" t="str">
        <f t="shared" si="3"/>
        <v>Serviciul datoriei publice locale CEC Bank (refinantare 10.18 mio lei)</v>
      </c>
      <c r="O21" s="159"/>
      <c r="P21" s="159"/>
      <c r="Q21" s="159">
        <f t="shared" ref="Q21:S21" si="17">SUM(Q22:Q24)</f>
        <v>0</v>
      </c>
      <c r="R21" s="159">
        <f t="shared" si="17"/>
        <v>0</v>
      </c>
      <c r="S21" s="159">
        <f t="shared" si="17"/>
        <v>0</v>
      </c>
      <c r="T21" s="159"/>
      <c r="U21" s="159"/>
      <c r="V21" s="159"/>
      <c r="W21" s="159"/>
      <c r="X21" s="159"/>
      <c r="Y21" s="159"/>
      <c r="Z21" s="159"/>
      <c r="AB21" s="160">
        <f>SUM(O21:S21)+SUM(F21:L21)</f>
        <v>7199.2026201195931</v>
      </c>
    </row>
    <row r="22" spans="1:30">
      <c r="A22" s="413"/>
      <c r="B22" s="162" t="s">
        <v>106</v>
      </c>
      <c r="C22" s="159"/>
      <c r="D22" s="159">
        <f>'[16]centralizare credite'!E5</f>
        <v>0</v>
      </c>
      <c r="E22" s="159">
        <f>centralizator!D25</f>
        <v>0</v>
      </c>
      <c r="F22" s="159">
        <f>centralizator!H25</f>
        <v>866.5377225531912</v>
      </c>
      <c r="G22" s="159">
        <f>centralizator!I25</f>
        <v>866.5377225531912</v>
      </c>
      <c r="H22" s="159">
        <f>centralizator!J25</f>
        <v>866.5377225531912</v>
      </c>
      <c r="I22" s="159">
        <f>centralizator!K25</f>
        <v>866.5377225531912</v>
      </c>
      <c r="J22" s="159">
        <f>centralizator!L25</f>
        <v>866.5377225531912</v>
      </c>
      <c r="K22" s="159">
        <f>centralizator!M25</f>
        <v>866.5377225531912</v>
      </c>
      <c r="L22" s="159">
        <f>centralizator!N25</f>
        <v>649.90329191489354</v>
      </c>
      <c r="M22" s="416"/>
      <c r="N22" s="161" t="str">
        <f t="shared" si="3"/>
        <v>a1.3) Rambursarea imprumutului</v>
      </c>
      <c r="O22" s="159"/>
      <c r="P22" s="159"/>
      <c r="Q22" s="159">
        <f>centralizator!O25</f>
        <v>0</v>
      </c>
      <c r="R22" s="159">
        <f>centralizator!O25</f>
        <v>0</v>
      </c>
      <c r="S22" s="159">
        <f>centralizator!O25</f>
        <v>0</v>
      </c>
      <c r="T22" s="159"/>
      <c r="U22" s="159"/>
      <c r="V22" s="159"/>
      <c r="W22" s="159"/>
      <c r="X22" s="159"/>
      <c r="Y22" s="159"/>
      <c r="Z22" s="159"/>
      <c r="AB22" s="160"/>
      <c r="AD22" s="160"/>
    </row>
    <row r="23" spans="1:30">
      <c r="A23" s="413"/>
      <c r="B23" s="162" t="s">
        <v>107</v>
      </c>
      <c r="C23" s="159"/>
      <c r="D23" s="159">
        <f>'[16]centralizare credite'!E6</f>
        <v>0</v>
      </c>
      <c r="E23" s="159">
        <f>centralizator!D26</f>
        <v>0</v>
      </c>
      <c r="F23" s="159">
        <f>centralizator!H26</f>
        <v>369.0858563966176</v>
      </c>
      <c r="G23" s="159">
        <f>centralizator!I26</f>
        <v>309.50416682339761</v>
      </c>
      <c r="H23" s="159">
        <f>centralizator!J26</f>
        <v>250.99120710799323</v>
      </c>
      <c r="I23" s="159">
        <f>centralizator!K26</f>
        <v>192.47824739258888</v>
      </c>
      <c r="J23" s="159">
        <f>centralizator!L26</f>
        <v>134.39277962031076</v>
      </c>
      <c r="K23" s="159">
        <f>centralizator!M26</f>
        <v>75.452327961780298</v>
      </c>
      <c r="L23" s="159">
        <f>centralizator!N26</f>
        <v>18.168407582864351</v>
      </c>
      <c r="M23" s="416"/>
      <c r="N23" s="161" t="str">
        <f t="shared" si="3"/>
        <v xml:space="preserve">b1.3) Dobanzi </v>
      </c>
      <c r="O23" s="159"/>
      <c r="P23" s="159"/>
      <c r="Q23" s="159">
        <f>centralizator!O26</f>
        <v>0</v>
      </c>
      <c r="R23" s="159">
        <f>centralizator!O26</f>
        <v>0</v>
      </c>
      <c r="S23" s="159">
        <f>centralizator!O26</f>
        <v>0</v>
      </c>
      <c r="T23" s="159"/>
      <c r="U23" s="159"/>
      <c r="V23" s="159"/>
      <c r="W23" s="159"/>
      <c r="X23" s="159"/>
      <c r="Y23" s="159"/>
      <c r="Z23" s="159"/>
      <c r="AB23" s="160"/>
      <c r="AD23" s="160"/>
    </row>
    <row r="24" spans="1:30">
      <c r="A24" s="414"/>
      <c r="B24" s="162" t="s">
        <v>108</v>
      </c>
      <c r="C24" s="159"/>
      <c r="D24" s="159">
        <f>'[16]centralizare credite'!E7</f>
        <v>0</v>
      </c>
      <c r="E24" s="159">
        <f>centralizator!D27</f>
        <v>0</v>
      </c>
      <c r="F24" s="159">
        <f>centralizator!H27</f>
        <v>0</v>
      </c>
      <c r="G24" s="159">
        <f>centralizator!I27</f>
        <v>0</v>
      </c>
      <c r="H24" s="159">
        <f>centralizator!J27</f>
        <v>0</v>
      </c>
      <c r="I24" s="159">
        <f>centralizator!K27</f>
        <v>0</v>
      </c>
      <c r="J24" s="159">
        <f>centralizator!L27</f>
        <v>0</v>
      </c>
      <c r="K24" s="159">
        <f>centralizator!M27</f>
        <v>0</v>
      </c>
      <c r="L24" s="159">
        <f>centralizator!N27</f>
        <v>0</v>
      </c>
      <c r="M24" s="417"/>
      <c r="N24" s="161" t="str">
        <f t="shared" si="3"/>
        <v>c1.3) Comisioane</v>
      </c>
      <c r="O24" s="159"/>
      <c r="P24" s="159"/>
      <c r="Q24" s="159">
        <f>centralizator!O27</f>
        <v>0</v>
      </c>
      <c r="R24" s="159">
        <f>centralizator!O27</f>
        <v>0</v>
      </c>
      <c r="S24" s="159">
        <f>centralizator!O27</f>
        <v>0</v>
      </c>
      <c r="T24" s="159"/>
      <c r="U24" s="159"/>
      <c r="V24" s="159"/>
      <c r="W24" s="159"/>
      <c r="X24" s="159"/>
      <c r="Y24" s="159"/>
      <c r="Z24" s="159"/>
      <c r="AB24" s="160"/>
      <c r="AD24" s="160"/>
    </row>
    <row r="25" spans="1:30" ht="19.2" customHeight="1">
      <c r="A25" s="412" t="s">
        <v>70</v>
      </c>
      <c r="B25" s="161" t="s">
        <v>182</v>
      </c>
      <c r="C25" s="159"/>
      <c r="D25" s="159" t="e">
        <f>SUM(D26:D28)</f>
        <v>#REF!</v>
      </c>
      <c r="E25" s="159">
        <f t="shared" ref="E25:L25" si="18">SUM(E26:E28)</f>
        <v>0</v>
      </c>
      <c r="F25" s="159">
        <f t="shared" si="18"/>
        <v>269.42241304536196</v>
      </c>
      <c r="G25" s="159">
        <f t="shared" si="18"/>
        <v>255.0658380671849</v>
      </c>
      <c r="H25" s="159">
        <f t="shared" si="18"/>
        <v>240.91601844422908</v>
      </c>
      <c r="I25" s="159">
        <f t="shared" si="18"/>
        <v>226.76619882127326</v>
      </c>
      <c r="J25" s="159">
        <f t="shared" si="18"/>
        <v>212.66806803712274</v>
      </c>
      <c r="K25" s="159">
        <f t="shared" si="18"/>
        <v>84.409823160918805</v>
      </c>
      <c r="L25" s="159">
        <f t="shared" si="18"/>
        <v>0</v>
      </c>
      <c r="M25" s="415" t="s">
        <v>70</v>
      </c>
      <c r="N25" s="161" t="str">
        <f t="shared" ref="N25:N28" si="19">B25</f>
        <v>Serviciul datoriei publice locale credit BCR (refinantare 1.94 mio lei)</v>
      </c>
      <c r="O25" s="159"/>
      <c r="P25" s="159"/>
      <c r="Q25" s="159">
        <f t="shared" ref="Q25:S25" si="20">SUM(Q26:Q28)</f>
        <v>0</v>
      </c>
      <c r="R25" s="159">
        <f t="shared" si="20"/>
        <v>0</v>
      </c>
      <c r="S25" s="159">
        <f t="shared" si="20"/>
        <v>0</v>
      </c>
      <c r="T25" s="159"/>
      <c r="U25" s="159"/>
      <c r="V25" s="159"/>
      <c r="W25" s="159"/>
      <c r="X25" s="159"/>
      <c r="Y25" s="159"/>
      <c r="Z25" s="159"/>
      <c r="AB25" s="160">
        <f>SUM(O25:S25)+SUM(F25:L25)</f>
        <v>1289.2483595760909</v>
      </c>
    </row>
    <row r="26" spans="1:30">
      <c r="A26" s="413"/>
      <c r="B26" s="162" t="s">
        <v>109</v>
      </c>
      <c r="C26" s="159"/>
      <c r="D26" s="159" t="e">
        <f>'[16]centralizare credite'!E9</f>
        <v>#REF!</v>
      </c>
      <c r="E26" s="159">
        <f>centralizator!D29</f>
        <v>0</v>
      </c>
      <c r="F26" s="159">
        <f>centralizator!H6</f>
        <v>199.08682564102565</v>
      </c>
      <c r="G26" s="159">
        <f>centralizator!I6</f>
        <v>199.08682564102565</v>
      </c>
      <c r="H26" s="159">
        <f>centralizator!J6</f>
        <v>199.08682564102565</v>
      </c>
      <c r="I26" s="159">
        <f>centralizator!K6</f>
        <v>199.08682564102565</v>
      </c>
      <c r="J26" s="159">
        <f>centralizator!L6</f>
        <v>199.08682564102565</v>
      </c>
      <c r="K26" s="159">
        <f>centralizator!M6</f>
        <v>82.952844017094009</v>
      </c>
      <c r="L26" s="159">
        <f>centralizator!N6</f>
        <v>0</v>
      </c>
      <c r="M26" s="416"/>
      <c r="N26" s="161" t="str">
        <f t="shared" si="19"/>
        <v>a1.4) Rambursarea imprumutului</v>
      </c>
      <c r="O26" s="159"/>
      <c r="P26" s="159"/>
      <c r="Q26" s="159">
        <f>centralizator!N6</f>
        <v>0</v>
      </c>
      <c r="R26" s="159">
        <f>centralizator!O6</f>
        <v>0</v>
      </c>
      <c r="S26" s="159">
        <f>centralizator!P6</f>
        <v>0</v>
      </c>
      <c r="T26" s="159"/>
      <c r="U26" s="159"/>
      <c r="V26" s="159"/>
      <c r="W26" s="159"/>
      <c r="X26" s="159"/>
      <c r="Y26" s="159"/>
      <c r="Z26" s="159"/>
      <c r="AB26" s="160"/>
      <c r="AD26" s="160"/>
    </row>
    <row r="27" spans="1:30">
      <c r="A27" s="413"/>
      <c r="B27" s="162" t="s">
        <v>110</v>
      </c>
      <c r="C27" s="159"/>
      <c r="D27" s="159">
        <f>'[16]centralizare credite'!E10</f>
        <v>745.27433217599992</v>
      </c>
      <c r="E27" s="159">
        <f>centralizator!D30</f>
        <v>0</v>
      </c>
      <c r="F27" s="159">
        <f>centralizator!H7</f>
        <v>70.335587404336323</v>
      </c>
      <c r="G27" s="159">
        <f>centralizator!I7</f>
        <v>55.979012426159237</v>
      </c>
      <c r="H27" s="159">
        <f>centralizator!J7</f>
        <v>41.829192803203419</v>
      </c>
      <c r="I27" s="159">
        <f>centralizator!K7</f>
        <v>27.679373180247605</v>
      </c>
      <c r="J27" s="159">
        <f>centralizator!L7</f>
        <v>13.581242396097092</v>
      </c>
      <c r="K27" s="159">
        <f>centralizator!M7</f>
        <v>1.4569791438248025</v>
      </c>
      <c r="L27" s="159">
        <f>centralizator!N7</f>
        <v>0</v>
      </c>
      <c r="M27" s="416"/>
      <c r="N27" s="161" t="str">
        <f t="shared" si="19"/>
        <v xml:space="preserve">b1.4) Dobanzi </v>
      </c>
      <c r="O27" s="159"/>
      <c r="P27" s="159"/>
      <c r="Q27" s="159">
        <f>centralizator!N7</f>
        <v>0</v>
      </c>
      <c r="R27" s="159">
        <f>centralizator!O7</f>
        <v>0</v>
      </c>
      <c r="S27" s="159">
        <f>centralizator!P7</f>
        <v>0</v>
      </c>
      <c r="T27" s="159"/>
      <c r="U27" s="159"/>
      <c r="V27" s="159"/>
      <c r="W27" s="159"/>
      <c r="X27" s="159"/>
      <c r="Y27" s="159"/>
      <c r="Z27" s="159"/>
      <c r="AB27" s="160"/>
      <c r="AD27" s="160"/>
    </row>
    <row r="28" spans="1:30">
      <c r="A28" s="414"/>
      <c r="B28" s="162" t="s">
        <v>111</v>
      </c>
      <c r="C28" s="159"/>
      <c r="D28" s="159">
        <f>'[16]centralizare credite'!E11</f>
        <v>339.24244272808545</v>
      </c>
      <c r="E28" s="159">
        <f>centralizator!D31</f>
        <v>0</v>
      </c>
      <c r="F28" s="159">
        <f>centralizator!H8</f>
        <v>0</v>
      </c>
      <c r="G28" s="159">
        <f>centralizator!I8</f>
        <v>0</v>
      </c>
      <c r="H28" s="159">
        <f>centralizator!J8</f>
        <v>0</v>
      </c>
      <c r="I28" s="159">
        <f>centralizator!K8</f>
        <v>0</v>
      </c>
      <c r="J28" s="159">
        <f>centralizator!L8</f>
        <v>0</v>
      </c>
      <c r="K28" s="159">
        <f>centralizator!M8</f>
        <v>0</v>
      </c>
      <c r="L28" s="159">
        <f>centralizator!N8</f>
        <v>0</v>
      </c>
      <c r="M28" s="417"/>
      <c r="N28" s="161" t="str">
        <f t="shared" si="19"/>
        <v>c1.4) Comisioane</v>
      </c>
      <c r="O28" s="159"/>
      <c r="P28" s="159"/>
      <c r="Q28" s="159">
        <f>centralizator!N8</f>
        <v>0</v>
      </c>
      <c r="R28" s="159">
        <f>centralizator!O8</f>
        <v>0</v>
      </c>
      <c r="S28" s="159">
        <f>centralizator!P8</f>
        <v>0</v>
      </c>
      <c r="T28" s="159"/>
      <c r="U28" s="159"/>
      <c r="V28" s="159"/>
      <c r="W28" s="159"/>
      <c r="X28" s="159"/>
      <c r="Y28" s="159"/>
      <c r="Z28" s="159"/>
      <c r="AB28" s="160"/>
      <c r="AD28" s="160"/>
    </row>
    <row r="29" spans="1:30" ht="17.25" customHeight="1">
      <c r="A29" s="412" t="s">
        <v>159</v>
      </c>
      <c r="B29" s="161" t="s">
        <v>180</v>
      </c>
      <c r="C29" s="159"/>
      <c r="D29" s="159" t="e">
        <f>SUM(D30:D32)</f>
        <v>#REF!</v>
      </c>
      <c r="E29" s="159">
        <f t="shared" ref="E29:L29" si="21">SUM(E30:E32)</f>
        <v>0</v>
      </c>
      <c r="F29" s="159">
        <f t="shared" si="21"/>
        <v>1753.6684839218524</v>
      </c>
      <c r="G29" s="159">
        <f t="shared" si="21"/>
        <v>1672.0860720373344</v>
      </c>
      <c r="H29" s="159">
        <f t="shared" si="21"/>
        <v>1592.5377719362232</v>
      </c>
      <c r="I29" s="159">
        <f t="shared" si="21"/>
        <v>1512.9894718351118</v>
      </c>
      <c r="J29" s="159">
        <f t="shared" si="21"/>
        <v>1434.6035213245191</v>
      </c>
      <c r="K29" s="159">
        <f t="shared" si="21"/>
        <v>1353.8928716328892</v>
      </c>
      <c r="L29" s="159">
        <f t="shared" si="21"/>
        <v>1274.344571531778</v>
      </c>
      <c r="M29" s="415" t="s">
        <v>159</v>
      </c>
      <c r="N29" s="161" t="str">
        <f t="shared" ref="N29:N32" si="22">B29</f>
        <v>Serviciul datoriei publice locale Unicredit (13 mio lei)</v>
      </c>
      <c r="O29" s="159">
        <f t="shared" ref="O29:S29" si="23">SUM(O30:O32)</f>
        <v>1194.7962714306666</v>
      </c>
      <c r="P29" s="159">
        <f t="shared" si="23"/>
        <v>1115.5385587271851</v>
      </c>
      <c r="Q29" s="159">
        <f t="shared" si="23"/>
        <v>527.78429227068523</v>
      </c>
      <c r="R29" s="159">
        <f t="shared" ref="R29:U29" si="24">SUM(R30:R32)</f>
        <v>0</v>
      </c>
      <c r="S29" s="159">
        <f t="shared" si="24"/>
        <v>0</v>
      </c>
      <c r="T29" s="159">
        <f t="shared" si="24"/>
        <v>0</v>
      </c>
      <c r="U29" s="159">
        <f t="shared" si="24"/>
        <v>0</v>
      </c>
      <c r="V29" s="159"/>
      <c r="W29" s="159"/>
      <c r="X29" s="159"/>
      <c r="Y29" s="159"/>
      <c r="Z29" s="159"/>
      <c r="AB29" s="160">
        <f>SUM(O29:S29)+SUM(F29:L29)</f>
        <v>13432.241886648244</v>
      </c>
    </row>
    <row r="30" spans="1:30">
      <c r="A30" s="413"/>
      <c r="B30" s="162" t="s">
        <v>177</v>
      </c>
      <c r="C30" s="159"/>
      <c r="D30" s="159" t="e">
        <f>'[16]centralizare credite'!E13</f>
        <v>#REF!</v>
      </c>
      <c r="E30" s="159">
        <f>centralizator!D33</f>
        <v>0</v>
      </c>
      <c r="F30" s="159">
        <f>centralizator!H35</f>
        <v>1039.1867199999999</v>
      </c>
      <c r="G30" s="159">
        <f>centralizator!I35</f>
        <v>1039.1867199999999</v>
      </c>
      <c r="H30" s="159">
        <f>centralizator!J35</f>
        <v>1039.1867199999999</v>
      </c>
      <c r="I30" s="159">
        <f>centralizator!K35</f>
        <v>1039.1867199999999</v>
      </c>
      <c r="J30" s="159">
        <f>centralizator!L35</f>
        <v>1039.1867199999999</v>
      </c>
      <c r="K30" s="159">
        <f>centralizator!M35</f>
        <v>1039.1867199999999</v>
      </c>
      <c r="L30" s="159">
        <f>centralizator!N35</f>
        <v>1039.1867199999999</v>
      </c>
      <c r="M30" s="416"/>
      <c r="N30" s="161" t="str">
        <f t="shared" si="22"/>
        <v>a1.5) Rambursarea imprumutului</v>
      </c>
      <c r="O30" s="159">
        <f>centralizator!O35</f>
        <v>1039.1867199999999</v>
      </c>
      <c r="P30" s="159">
        <f>centralizator!P35</f>
        <v>1039.1867199999999</v>
      </c>
      <c r="Q30" s="159">
        <f>centralizator!Q35</f>
        <v>519.59335999999996</v>
      </c>
      <c r="R30" s="159">
        <f>centralizator!R35</f>
        <v>0</v>
      </c>
      <c r="S30" s="159">
        <f>centralizator!S35</f>
        <v>0</v>
      </c>
      <c r="T30" s="159">
        <f>centralizator!T35</f>
        <v>0</v>
      </c>
      <c r="U30" s="159">
        <f>centralizator!U35</f>
        <v>0</v>
      </c>
      <c r="V30" s="159"/>
      <c r="W30" s="159"/>
      <c r="X30" s="159"/>
      <c r="Y30" s="159"/>
      <c r="Z30" s="159"/>
      <c r="AB30" s="160"/>
      <c r="AD30" s="160"/>
    </row>
    <row r="31" spans="1:30">
      <c r="A31" s="413"/>
      <c r="B31" s="162" t="s">
        <v>178</v>
      </c>
      <c r="C31" s="159"/>
      <c r="D31" s="159" t="e">
        <f>'[16]centralizare credite'!E14</f>
        <v>#REF!</v>
      </c>
      <c r="E31" s="159">
        <f>centralizator!D34</f>
        <v>0</v>
      </c>
      <c r="F31" s="159">
        <f>centralizator!H36</f>
        <v>714.48176392185258</v>
      </c>
      <c r="G31" s="159">
        <f>centralizator!I36</f>
        <v>632.89935203733432</v>
      </c>
      <c r="H31" s="159">
        <f>centralizator!J36</f>
        <v>553.35105193622326</v>
      </c>
      <c r="I31" s="159">
        <f>centralizator!K36</f>
        <v>473.80275183511179</v>
      </c>
      <c r="J31" s="159">
        <f>centralizator!L36</f>
        <v>395.4168013245191</v>
      </c>
      <c r="K31" s="159">
        <f>centralizator!M36</f>
        <v>314.70615163288926</v>
      </c>
      <c r="L31" s="159">
        <f>centralizator!N36</f>
        <v>235.15785153177799</v>
      </c>
      <c r="M31" s="416"/>
      <c r="N31" s="161" t="str">
        <f t="shared" si="22"/>
        <v xml:space="preserve">b1.5) Dobanzi </v>
      </c>
      <c r="O31" s="159">
        <f>centralizator!O36</f>
        <v>155.6095514306667</v>
      </c>
      <c r="P31" s="159">
        <f>centralizator!P36</f>
        <v>76.351838727185267</v>
      </c>
      <c r="Q31" s="159">
        <f>centralizator!Q36</f>
        <v>8.1909322706852254</v>
      </c>
      <c r="R31" s="159">
        <f>centralizator!R36</f>
        <v>0</v>
      </c>
      <c r="S31" s="159">
        <f>centralizator!S36</f>
        <v>0</v>
      </c>
      <c r="T31" s="159">
        <f>centralizator!T36</f>
        <v>0</v>
      </c>
      <c r="U31" s="159">
        <f>centralizator!U36</f>
        <v>0</v>
      </c>
      <c r="V31" s="159"/>
      <c r="W31" s="159"/>
      <c r="X31" s="159"/>
      <c r="Y31" s="159"/>
      <c r="Z31" s="159"/>
      <c r="AB31" s="160"/>
      <c r="AD31" s="160"/>
    </row>
    <row r="32" spans="1:30">
      <c r="A32" s="414"/>
      <c r="B32" s="162" t="s">
        <v>179</v>
      </c>
      <c r="C32" s="159"/>
      <c r="D32" s="159" t="e">
        <f>'[16]centralizare credite'!E15</f>
        <v>#REF!</v>
      </c>
      <c r="E32" s="159">
        <f>centralizator!D35</f>
        <v>0</v>
      </c>
      <c r="F32" s="159">
        <f>centralizator!H37</f>
        <v>0</v>
      </c>
      <c r="G32" s="159">
        <f>centralizator!I37</f>
        <v>0</v>
      </c>
      <c r="H32" s="159">
        <f>centralizator!J37</f>
        <v>0</v>
      </c>
      <c r="I32" s="159">
        <f>centralizator!K37</f>
        <v>0</v>
      </c>
      <c r="J32" s="159">
        <f>centralizator!L37</f>
        <v>0</v>
      </c>
      <c r="K32" s="159">
        <f>centralizator!M37</f>
        <v>0</v>
      </c>
      <c r="L32" s="159">
        <f>centralizator!N37</f>
        <v>0</v>
      </c>
      <c r="M32" s="417"/>
      <c r="N32" s="161" t="str">
        <f t="shared" si="22"/>
        <v>c1.5) Comisioane</v>
      </c>
      <c r="O32" s="159">
        <f>centralizator!O37</f>
        <v>0</v>
      </c>
      <c r="P32" s="159">
        <f>centralizator!P37</f>
        <v>0</v>
      </c>
      <c r="Q32" s="159">
        <f>centralizator!Q37</f>
        <v>0</v>
      </c>
      <c r="R32" s="159">
        <f>centralizator!R37</f>
        <v>0</v>
      </c>
      <c r="S32" s="159">
        <f>centralizator!S37</f>
        <v>0</v>
      </c>
      <c r="T32" s="159">
        <f>centralizator!T37</f>
        <v>0</v>
      </c>
      <c r="U32" s="159">
        <f>centralizator!U37</f>
        <v>0</v>
      </c>
      <c r="V32" s="159"/>
      <c r="W32" s="159"/>
      <c r="X32" s="159"/>
      <c r="Y32" s="159"/>
      <c r="Z32" s="159"/>
      <c r="AB32" s="160"/>
      <c r="AD32" s="160"/>
    </row>
    <row r="33" spans="1:30" ht="17.25" customHeight="1">
      <c r="A33" s="412" t="s">
        <v>193</v>
      </c>
      <c r="B33" s="161" t="s">
        <v>197</v>
      </c>
      <c r="C33" s="159"/>
      <c r="D33" s="159" t="e">
        <f>SUM(D34:D36)</f>
        <v>#REF!</v>
      </c>
      <c r="E33" s="159">
        <f t="shared" ref="E33:L33" si="25">SUM(E34:E36)</f>
        <v>0</v>
      </c>
      <c r="F33" s="159">
        <f t="shared" si="25"/>
        <v>1807.8440412541668</v>
      </c>
      <c r="G33" s="159">
        <f t="shared" si="25"/>
        <v>1709.2884955541667</v>
      </c>
      <c r="H33" s="159">
        <f t="shared" si="25"/>
        <v>1610.7329498541667</v>
      </c>
      <c r="I33" s="159">
        <f t="shared" si="25"/>
        <v>1512.1774041541667</v>
      </c>
      <c r="J33" s="159">
        <f t="shared" si="25"/>
        <v>1413.6218584541668</v>
      </c>
      <c r="K33" s="159">
        <f t="shared" si="25"/>
        <v>1315.0663127541668</v>
      </c>
      <c r="L33" s="159">
        <f t="shared" si="25"/>
        <v>1216.5107670541668</v>
      </c>
      <c r="M33" s="415" t="s">
        <v>193</v>
      </c>
      <c r="N33" s="161" t="str">
        <f t="shared" ref="N33:N36" si="26">B33</f>
        <v>Serviciul datoriei publice locale - garantie BT (10 mil lei)</v>
      </c>
      <c r="O33" s="159">
        <f t="shared" ref="O33:S33" si="27">SUM(O34:O36)</f>
        <v>664.2327566416667</v>
      </c>
      <c r="P33" s="159"/>
      <c r="Q33" s="159"/>
      <c r="R33" s="159">
        <f t="shared" si="27"/>
        <v>0</v>
      </c>
      <c r="S33" s="159">
        <f t="shared" si="27"/>
        <v>0</v>
      </c>
      <c r="T33" s="159"/>
      <c r="U33" s="159"/>
      <c r="V33" s="159"/>
      <c r="W33" s="159"/>
      <c r="X33" s="159"/>
      <c r="Y33" s="159"/>
      <c r="Z33" s="159"/>
      <c r="AB33" s="160">
        <f>SUM(O33:S33)+SUM(F33:L33)</f>
        <v>11249.474585720835</v>
      </c>
    </row>
    <row r="34" spans="1:30">
      <c r="A34" s="413"/>
      <c r="B34" s="162" t="s">
        <v>194</v>
      </c>
      <c r="C34" s="159"/>
      <c r="D34" s="159" t="e">
        <f>'[16]centralizare credite'!E17</f>
        <v>#REF!</v>
      </c>
      <c r="E34" s="159">
        <f>centralizator!D37</f>
        <v>0</v>
      </c>
      <c r="F34" s="159">
        <f>centralizator!H40</f>
        <v>1111.1110000000001</v>
      </c>
      <c r="G34" s="159">
        <f>centralizator!I40</f>
        <v>1111.1110000000001</v>
      </c>
      <c r="H34" s="159">
        <f>centralizator!J40</f>
        <v>1111.1110000000001</v>
      </c>
      <c r="I34" s="159">
        <f>centralizator!K40</f>
        <v>1111.1110000000001</v>
      </c>
      <c r="J34" s="159">
        <f>centralizator!L40</f>
        <v>1111.1110000000001</v>
      </c>
      <c r="K34" s="159">
        <f>centralizator!M40</f>
        <v>1111.1110000000001</v>
      </c>
      <c r="L34" s="159">
        <f>centralizator!N40</f>
        <v>1111.1110000000001</v>
      </c>
      <c r="M34" s="416"/>
      <c r="N34" s="161" t="str">
        <f t="shared" si="26"/>
        <v>a1.6) Rambursarea imprumutului</v>
      </c>
      <c r="O34" s="159">
        <f>centralizator!O40</f>
        <v>648.149</v>
      </c>
      <c r="P34" s="159">
        <f>centralizator!P40</f>
        <v>0</v>
      </c>
      <c r="Q34" s="159"/>
      <c r="R34" s="159">
        <f>centralizator!P39</f>
        <v>0</v>
      </c>
      <c r="S34" s="159">
        <f>centralizator!Q39</f>
        <v>0</v>
      </c>
      <c r="T34" s="159"/>
      <c r="U34" s="159"/>
      <c r="V34" s="159"/>
      <c r="W34" s="159"/>
      <c r="X34" s="159"/>
      <c r="Y34" s="159"/>
      <c r="Z34" s="159"/>
      <c r="AB34" s="160"/>
      <c r="AD34" s="160"/>
    </row>
    <row r="35" spans="1:30">
      <c r="A35" s="413"/>
      <c r="B35" s="162" t="s">
        <v>195</v>
      </c>
      <c r="C35" s="159"/>
      <c r="D35" s="159" t="e">
        <f>'[16]centralizare credite'!E18</f>
        <v>#REF!</v>
      </c>
      <c r="E35" s="159">
        <f>centralizator!D38</f>
        <v>0</v>
      </c>
      <c r="F35" s="159">
        <f>centralizator!H41</f>
        <v>696.73304125416678</v>
      </c>
      <c r="G35" s="159">
        <f>centralizator!I41</f>
        <v>598.17749555416663</v>
      </c>
      <c r="H35" s="159">
        <f>centralizator!J41</f>
        <v>499.62194985416664</v>
      </c>
      <c r="I35" s="159">
        <f>centralizator!K41</f>
        <v>401.06640415416666</v>
      </c>
      <c r="J35" s="159">
        <f>centralizator!L41</f>
        <v>302.51085845416668</v>
      </c>
      <c r="K35" s="159">
        <f>centralizator!M41</f>
        <v>203.95531275416667</v>
      </c>
      <c r="L35" s="159">
        <f>centralizator!N41</f>
        <v>105.39976705416665</v>
      </c>
      <c r="M35" s="416"/>
      <c r="N35" s="161" t="str">
        <f t="shared" si="26"/>
        <v xml:space="preserve">b1.6) Dobanzi </v>
      </c>
      <c r="O35" s="159">
        <f>centralizator!O41</f>
        <v>16.083756641666668</v>
      </c>
      <c r="P35" s="159">
        <f>centralizator!P41</f>
        <v>0</v>
      </c>
      <c r="Q35" s="159"/>
      <c r="R35" s="159">
        <f>centralizator!P40</f>
        <v>0</v>
      </c>
      <c r="S35" s="159"/>
      <c r="T35" s="159"/>
      <c r="U35" s="159"/>
      <c r="V35" s="159"/>
      <c r="W35" s="159"/>
      <c r="X35" s="159"/>
      <c r="Y35" s="159"/>
      <c r="Z35" s="159"/>
      <c r="AB35" s="160"/>
      <c r="AD35" s="160"/>
    </row>
    <row r="36" spans="1:30">
      <c r="A36" s="414"/>
      <c r="B36" s="162" t="s">
        <v>196</v>
      </c>
      <c r="C36" s="159"/>
      <c r="D36" s="159" t="e">
        <f>'[16]centralizare credite'!E19</f>
        <v>#REF!</v>
      </c>
      <c r="E36" s="159">
        <f>centralizator!D39</f>
        <v>0</v>
      </c>
      <c r="F36" s="159">
        <f>centralizator!H42</f>
        <v>0</v>
      </c>
      <c r="G36" s="159">
        <f>centralizator!I42</f>
        <v>0</v>
      </c>
      <c r="H36" s="159">
        <f>centralizator!J42</f>
        <v>0</v>
      </c>
      <c r="I36" s="159">
        <f>centralizator!K42</f>
        <v>0</v>
      </c>
      <c r="J36" s="159">
        <f>centralizator!L42</f>
        <v>0</v>
      </c>
      <c r="K36" s="159">
        <f>centralizator!M42</f>
        <v>0</v>
      </c>
      <c r="L36" s="159">
        <f>centralizator!N42</f>
        <v>0</v>
      </c>
      <c r="M36" s="417"/>
      <c r="N36" s="161" t="str">
        <f t="shared" si="26"/>
        <v>c1.6) Comisioane</v>
      </c>
      <c r="O36" s="159">
        <f>centralizator!O42</f>
        <v>0</v>
      </c>
      <c r="P36" s="159"/>
      <c r="Q36" s="159"/>
      <c r="R36" s="159">
        <f>centralizator!P41</f>
        <v>0</v>
      </c>
      <c r="S36" s="159"/>
      <c r="T36" s="159"/>
      <c r="U36" s="159"/>
      <c r="V36" s="159"/>
      <c r="W36" s="159"/>
      <c r="X36" s="159"/>
      <c r="Y36" s="159"/>
      <c r="Z36" s="159"/>
      <c r="AB36" s="160"/>
      <c r="AD36" s="160"/>
    </row>
    <row r="37" spans="1:30" ht="17.25" customHeight="1">
      <c r="A37" s="412" t="s">
        <v>198</v>
      </c>
      <c r="B37" s="161" t="s">
        <v>207</v>
      </c>
      <c r="C37" s="159"/>
      <c r="D37" s="159" t="e">
        <f>SUM(D38:D40)</f>
        <v>#REF!</v>
      </c>
      <c r="E37" s="159">
        <f t="shared" ref="E37:L37" si="28">SUM(E38:E40)</f>
        <v>0</v>
      </c>
      <c r="F37" s="159">
        <f t="shared" si="28"/>
        <v>198.41204827377686</v>
      </c>
      <c r="G37" s="159">
        <f t="shared" si="28"/>
        <v>190.91093320125472</v>
      </c>
      <c r="H37" s="159">
        <f t="shared" si="28"/>
        <v>183.56084730034945</v>
      </c>
      <c r="I37" s="159">
        <f t="shared" si="28"/>
        <v>176.21076139944421</v>
      </c>
      <c r="J37" s="159">
        <f t="shared" si="28"/>
        <v>168.93115578357052</v>
      </c>
      <c r="K37" s="159">
        <f t="shared" si="28"/>
        <v>161.51058959763367</v>
      </c>
      <c r="L37" s="159">
        <f t="shared" si="28"/>
        <v>154.1605036967284</v>
      </c>
      <c r="M37" s="415" t="s">
        <v>198</v>
      </c>
      <c r="N37" s="161" t="str">
        <f t="shared" ref="N37:N40" si="29">B37</f>
        <v>Serviciul datoriei publice locale - credit fd UE SAMTID</v>
      </c>
      <c r="O37" s="159">
        <f>SUM(O38:O40)</f>
        <v>74.316418163503144</v>
      </c>
      <c r="P37" s="159"/>
      <c r="Q37" s="159"/>
      <c r="R37" s="159">
        <f t="shared" ref="R37:S37" si="30">SUM(R38:R40)</f>
        <v>0</v>
      </c>
      <c r="S37" s="159"/>
      <c r="T37" s="159"/>
      <c r="U37" s="159"/>
      <c r="V37" s="159"/>
      <c r="W37" s="159"/>
      <c r="X37" s="159"/>
      <c r="Y37" s="159"/>
      <c r="Z37" s="159"/>
      <c r="AB37" s="160">
        <f>SUM(O37:S37)+SUM(F37:L37)</f>
        <v>1308.013257416261</v>
      </c>
    </row>
    <row r="38" spans="1:30">
      <c r="A38" s="413"/>
      <c r="B38" s="162" t="s">
        <v>200</v>
      </c>
      <c r="C38" s="159"/>
      <c r="D38" s="159" t="e">
        <f>'[16]centralizare credite'!E21</f>
        <v>#REF!</v>
      </c>
      <c r="E38" s="159">
        <f>centralizator!D41</f>
        <v>0</v>
      </c>
      <c r="F38" s="159">
        <f>centralizator!H11</f>
        <v>144.98799585347371</v>
      </c>
      <c r="G38" s="159">
        <f>centralizator!I11</f>
        <v>144.98799585347371</v>
      </c>
      <c r="H38" s="159">
        <f>centralizator!J11</f>
        <v>144.98799585347371</v>
      </c>
      <c r="I38" s="159">
        <f>centralizator!K11</f>
        <v>144.98799585347371</v>
      </c>
      <c r="J38" s="159">
        <f>centralizator!L11</f>
        <v>144.98799585347371</v>
      </c>
      <c r="K38" s="159">
        <f>centralizator!M11</f>
        <v>144.98799585347371</v>
      </c>
      <c r="L38" s="159">
        <f>centralizator!N11</f>
        <v>144.98799585347371</v>
      </c>
      <c r="M38" s="416"/>
      <c r="N38" s="161" t="str">
        <f t="shared" si="29"/>
        <v>a1.7) Rambursarea imprumutului</v>
      </c>
      <c r="O38" s="159">
        <f>centralizator!O11</f>
        <v>72.493997926736853</v>
      </c>
      <c r="P38" s="159">
        <f>centralizator!P11</f>
        <v>0</v>
      </c>
      <c r="Q38" s="159"/>
      <c r="R38" s="159">
        <f>centralizator!P11</f>
        <v>0</v>
      </c>
      <c r="S38" s="159"/>
      <c r="T38" s="159"/>
      <c r="U38" s="159"/>
      <c r="V38" s="159"/>
      <c r="W38" s="159"/>
      <c r="X38" s="159"/>
      <c r="Y38" s="159"/>
      <c r="Z38" s="159"/>
      <c r="AB38" s="160"/>
      <c r="AD38" s="160"/>
    </row>
    <row r="39" spans="1:30">
      <c r="A39" s="413"/>
      <c r="B39" s="162" t="s">
        <v>201</v>
      </c>
      <c r="C39" s="159"/>
      <c r="D39" s="159" t="e">
        <f>'[16]centralizare credite'!E22</f>
        <v>#REF!</v>
      </c>
      <c r="E39" s="159">
        <f>centralizator!D42</f>
        <v>0</v>
      </c>
      <c r="F39" s="159">
        <f>centralizator!H12</f>
        <v>53.424052420303141</v>
      </c>
      <c r="G39" s="159">
        <f>centralizator!I12</f>
        <v>45.922937347781023</v>
      </c>
      <c r="H39" s="159">
        <f>centralizator!J12</f>
        <v>38.57285144687576</v>
      </c>
      <c r="I39" s="159">
        <f>centralizator!K12</f>
        <v>31.222765545970489</v>
      </c>
      <c r="J39" s="159">
        <f>centralizator!L12</f>
        <v>23.943159930096805</v>
      </c>
      <c r="K39" s="159">
        <f>centralizator!M12</f>
        <v>16.522593744159956</v>
      </c>
      <c r="L39" s="159">
        <f>centralizator!N12</f>
        <v>9.172507843254694</v>
      </c>
      <c r="M39" s="416"/>
      <c r="N39" s="161" t="str">
        <f t="shared" si="29"/>
        <v xml:space="preserve">b1.7) Dobanzi </v>
      </c>
      <c r="O39" s="159">
        <f>centralizator!O12</f>
        <v>1.8224202367662945</v>
      </c>
      <c r="P39" s="159">
        <f>centralizator!P12</f>
        <v>0</v>
      </c>
      <c r="Q39" s="159"/>
      <c r="R39" s="159">
        <f>centralizator!P12</f>
        <v>0</v>
      </c>
      <c r="S39" s="159"/>
      <c r="T39" s="159"/>
      <c r="U39" s="159"/>
      <c r="V39" s="159"/>
      <c r="W39" s="159"/>
      <c r="X39" s="159"/>
      <c r="Y39" s="159"/>
      <c r="Z39" s="159"/>
      <c r="AB39" s="160"/>
      <c r="AD39" s="160"/>
    </row>
    <row r="40" spans="1:30">
      <c r="A40" s="414"/>
      <c r="B40" s="162" t="s">
        <v>202</v>
      </c>
      <c r="C40" s="159"/>
      <c r="D40" s="159" t="e">
        <f>'[16]centralizare credite'!E23</f>
        <v>#REF!</v>
      </c>
      <c r="E40" s="159">
        <f>centralizator!D43</f>
        <v>0</v>
      </c>
      <c r="F40" s="159">
        <f>centralizator!H13</f>
        <v>0</v>
      </c>
      <c r="G40" s="159">
        <f>centralizator!I13</f>
        <v>0</v>
      </c>
      <c r="H40" s="159">
        <f>centralizator!J13</f>
        <v>0</v>
      </c>
      <c r="I40" s="159">
        <f>centralizator!K13</f>
        <v>0</v>
      </c>
      <c r="J40" s="159">
        <f>centralizator!L13</f>
        <v>0</v>
      </c>
      <c r="K40" s="159">
        <f>centralizator!M13</f>
        <v>0</v>
      </c>
      <c r="L40" s="159">
        <f>centralizator!N13</f>
        <v>0</v>
      </c>
      <c r="M40" s="417"/>
      <c r="N40" s="161" t="str">
        <f t="shared" si="29"/>
        <v>c1.7) Comisioane</v>
      </c>
      <c r="O40" s="159">
        <f>centralizator!O13</f>
        <v>0</v>
      </c>
      <c r="P40" s="159"/>
      <c r="Q40" s="159"/>
      <c r="R40" s="159">
        <f>centralizator!P13</f>
        <v>0</v>
      </c>
      <c r="S40" s="159"/>
      <c r="T40" s="159"/>
      <c r="U40" s="159"/>
      <c r="V40" s="159"/>
      <c r="W40" s="159"/>
      <c r="X40" s="159"/>
      <c r="Y40" s="159"/>
      <c r="Z40" s="159"/>
      <c r="AB40" s="160"/>
      <c r="AD40" s="160"/>
    </row>
    <row r="41" spans="1:30" ht="17.25" customHeight="1">
      <c r="A41" s="412" t="s">
        <v>199</v>
      </c>
      <c r="B41" s="161" t="s">
        <v>206</v>
      </c>
      <c r="C41" s="159"/>
      <c r="D41" s="159" t="e">
        <f>SUM(D42:D44)</f>
        <v>#REF!</v>
      </c>
      <c r="E41" s="159" t="e">
        <f t="shared" ref="E41:L41" si="31">SUM(E42:E44)</f>
        <v>#REF!</v>
      </c>
      <c r="F41" s="159">
        <f t="shared" si="31"/>
        <v>1726.2187166917608</v>
      </c>
      <c r="G41" s="159">
        <f t="shared" si="31"/>
        <v>1641.2986722930636</v>
      </c>
      <c r="H41" s="159">
        <f t="shared" si="31"/>
        <v>1558.0154139483966</v>
      </c>
      <c r="I41" s="159">
        <f t="shared" si="31"/>
        <v>1474.7321556037298</v>
      </c>
      <c r="J41" s="159">
        <f t="shared" si="31"/>
        <v>1392.1729900709602</v>
      </c>
      <c r="K41" s="159">
        <f t="shared" si="31"/>
        <v>1242.9618692717072</v>
      </c>
      <c r="L41" s="159">
        <f t="shared" si="31"/>
        <v>1038.7472824847878</v>
      </c>
      <c r="M41" s="415" t="s">
        <v>199</v>
      </c>
      <c r="N41" s="161" t="str">
        <f t="shared" ref="N41:N44" si="32">B41</f>
        <v>Serviciul datoriei publice locale - BCR fd UE (11 mil lei)</v>
      </c>
      <c r="O41" s="159">
        <f t="shared" ref="O41:S41" si="33">SUM(O42:O44)</f>
        <v>654.09222139158817</v>
      </c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B41" s="160">
        <f>SUM(O41:S41)+SUM(F41:L41)</f>
        <v>10728.239321755993</v>
      </c>
    </row>
    <row r="42" spans="1:30">
      <c r="A42" s="413"/>
      <c r="B42" s="162" t="s">
        <v>203</v>
      </c>
      <c r="C42" s="159"/>
      <c r="D42" s="159" t="e">
        <f>'[16]centralizare credite'!E25</f>
        <v>#REF!</v>
      </c>
      <c r="E42" s="159" t="e">
        <f>centralizator!#REF!</f>
        <v>#REF!</v>
      </c>
      <c r="F42" s="159">
        <f>centralizator!H30</f>
        <v>1158.5668800000001</v>
      </c>
      <c r="G42" s="159">
        <f>centralizator!I30</f>
        <v>1158.5668800000001</v>
      </c>
      <c r="H42" s="159">
        <f>centralizator!J30</f>
        <v>1158.5668800000001</v>
      </c>
      <c r="I42" s="159">
        <f>centralizator!K30</f>
        <v>1158.5668800000001</v>
      </c>
      <c r="J42" s="159">
        <f>centralizator!L30</f>
        <v>1158.5668800000001</v>
      </c>
      <c r="K42" s="159">
        <f>centralizator!M30</f>
        <v>1092.7670000000001</v>
      </c>
      <c r="L42" s="159">
        <f>centralizator!N30</f>
        <v>961.16724000000011</v>
      </c>
      <c r="M42" s="416"/>
      <c r="N42" s="161" t="str">
        <f t="shared" si="32"/>
        <v>a1.8) Rambursarea imprumutului</v>
      </c>
      <c r="O42" s="159">
        <f>centralizator!O30</f>
        <v>640.77836000000013</v>
      </c>
      <c r="P42" s="159">
        <f>centralizator!P30</f>
        <v>0</v>
      </c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B42" s="160"/>
      <c r="AD42" s="160"/>
    </row>
    <row r="43" spans="1:30">
      <c r="A43" s="413"/>
      <c r="B43" s="162" t="s">
        <v>204</v>
      </c>
      <c r="C43" s="159"/>
      <c r="D43" s="159" t="e">
        <f>'[16]centralizare credite'!E26</f>
        <v>#REF!</v>
      </c>
      <c r="E43" s="159" t="e">
        <f>centralizator!#REF!</f>
        <v>#REF!</v>
      </c>
      <c r="F43" s="159">
        <f>centralizator!H31</f>
        <v>567.65183669176076</v>
      </c>
      <c r="G43" s="159">
        <f>centralizator!I31</f>
        <v>482.73179229306345</v>
      </c>
      <c r="H43" s="159">
        <f>centralizator!J31</f>
        <v>399.44853394839663</v>
      </c>
      <c r="I43" s="159">
        <f>centralizator!K31</f>
        <v>316.1652756037297</v>
      </c>
      <c r="J43" s="159">
        <f>centralizator!L31</f>
        <v>233.60611007096006</v>
      </c>
      <c r="K43" s="159">
        <f>centralizator!M31</f>
        <v>150.19486927170709</v>
      </c>
      <c r="L43" s="159">
        <f>centralizator!N31</f>
        <v>77.580042484787626</v>
      </c>
      <c r="M43" s="416"/>
      <c r="N43" s="161" t="str">
        <f t="shared" si="32"/>
        <v xml:space="preserve">b1.8) Dobanzi </v>
      </c>
      <c r="O43" s="159">
        <f>centralizator!O31</f>
        <v>13.313861391588041</v>
      </c>
      <c r="P43" s="159">
        <f>centralizator!P31</f>
        <v>0</v>
      </c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B43" s="160"/>
      <c r="AD43" s="160"/>
    </row>
    <row r="44" spans="1:30">
      <c r="A44" s="414"/>
      <c r="B44" s="162" t="s">
        <v>205</v>
      </c>
      <c r="C44" s="159"/>
      <c r="D44" s="159" t="e">
        <f>'[16]centralizare credite'!E27</f>
        <v>#REF!</v>
      </c>
      <c r="E44" s="159" t="e">
        <f>centralizator!#REF!</f>
        <v>#REF!</v>
      </c>
      <c r="F44" s="159">
        <f>centralizator!H32</f>
        <v>0</v>
      </c>
      <c r="G44" s="159">
        <f>centralizator!I32</f>
        <v>0</v>
      </c>
      <c r="H44" s="159">
        <f>centralizator!J32</f>
        <v>0</v>
      </c>
      <c r="I44" s="159">
        <f>centralizator!K32</f>
        <v>0</v>
      </c>
      <c r="J44" s="159">
        <f>centralizator!L32</f>
        <v>0</v>
      </c>
      <c r="K44" s="159">
        <f>centralizator!M32</f>
        <v>0</v>
      </c>
      <c r="L44" s="159">
        <f>centralizator!N32</f>
        <v>0</v>
      </c>
      <c r="M44" s="417"/>
      <c r="N44" s="161" t="str">
        <f t="shared" si="32"/>
        <v>c1.8) Comisioane</v>
      </c>
      <c r="O44" s="159">
        <f>centralizator!M32</f>
        <v>0</v>
      </c>
      <c r="P44" s="159">
        <f>centralizator!N32</f>
        <v>0</v>
      </c>
      <c r="Q44" s="159">
        <f>centralizator!O32</f>
        <v>0</v>
      </c>
      <c r="R44" s="159"/>
      <c r="S44" s="159"/>
      <c r="T44" s="159"/>
      <c r="U44" s="159"/>
      <c r="V44" s="159"/>
      <c r="W44" s="159"/>
      <c r="X44" s="159"/>
      <c r="Y44" s="159"/>
      <c r="Z44" s="159"/>
      <c r="AB44" s="160"/>
      <c r="AD44" s="160"/>
    </row>
    <row r="45" spans="1:30" ht="17.25" customHeight="1">
      <c r="A45" s="412" t="s">
        <v>210</v>
      </c>
      <c r="B45" s="161" t="s">
        <v>222</v>
      </c>
      <c r="C45" s="159"/>
      <c r="D45" s="159" t="e">
        <f>SUM(D46:D48)</f>
        <v>#REF!</v>
      </c>
      <c r="E45" s="159">
        <f t="shared" ref="E45:L45" si="34">SUM(E46:E48)</f>
        <v>0</v>
      </c>
      <c r="F45" s="159">
        <f t="shared" si="34"/>
        <v>791.15105164444435</v>
      </c>
      <c r="G45" s="159">
        <f t="shared" si="34"/>
        <v>755.70928597777777</v>
      </c>
      <c r="H45" s="159">
        <f t="shared" si="34"/>
        <v>721.0972606444443</v>
      </c>
      <c r="I45" s="159">
        <f t="shared" si="34"/>
        <v>686.48523531111073</v>
      </c>
      <c r="J45" s="159">
        <f t="shared" si="34"/>
        <v>652.33944502222175</v>
      </c>
      <c r="K45" s="159">
        <f t="shared" si="34"/>
        <v>617.26118464444403</v>
      </c>
      <c r="L45" s="159">
        <f t="shared" si="34"/>
        <v>582.64915931111079</v>
      </c>
      <c r="M45" s="415" t="s">
        <v>210</v>
      </c>
      <c r="N45" s="161" t="str">
        <f t="shared" ref="N45:N48" si="35">B45</f>
        <v>Serviciul datoriei publice locale - garantie Raiffeisen 5.39 mil ron</v>
      </c>
      <c r="O45" s="159">
        <f t="shared" ref="O45:Q45" si="36">SUM(O46:O48)</f>
        <v>548.03713397777744</v>
      </c>
      <c r="P45" s="159">
        <f t="shared" si="36"/>
        <v>513.51203382222184</v>
      </c>
      <c r="Q45" s="159">
        <f t="shared" si="36"/>
        <v>0</v>
      </c>
      <c r="R45" s="159"/>
      <c r="S45" s="159"/>
      <c r="T45" s="159"/>
      <c r="U45" s="159"/>
      <c r="V45" s="159"/>
      <c r="W45" s="159"/>
      <c r="X45" s="159"/>
      <c r="Y45" s="159"/>
      <c r="Z45" s="159"/>
      <c r="AB45" s="160">
        <f>SUM(O45:S45)+SUM(F45:L45)</f>
        <v>5868.2417903555524</v>
      </c>
    </row>
    <row r="46" spans="1:30">
      <c r="A46" s="413"/>
      <c r="B46" s="162" t="s">
        <v>215</v>
      </c>
      <c r="C46" s="159"/>
      <c r="D46" s="159" t="e">
        <f>'[16]centralizare credite'!E29</f>
        <v>#REF!</v>
      </c>
      <c r="E46" s="159">
        <f>centralizator!D54</f>
        <v>0</v>
      </c>
      <c r="F46" s="159">
        <f>centralizator!H45</f>
        <v>494.75199999999995</v>
      </c>
      <c r="G46" s="159">
        <f>centralizator!I45</f>
        <v>494.75199999999995</v>
      </c>
      <c r="H46" s="159">
        <f>centralizator!J45</f>
        <v>494.75199999999995</v>
      </c>
      <c r="I46" s="159">
        <f>centralizator!K45</f>
        <v>494.75199999999995</v>
      </c>
      <c r="J46" s="159">
        <f>centralizator!L45</f>
        <v>494.75199999999995</v>
      </c>
      <c r="K46" s="159">
        <f>centralizator!M45</f>
        <v>494.75199999999995</v>
      </c>
      <c r="L46" s="159">
        <f>centralizator!N45</f>
        <v>494.75199999999995</v>
      </c>
      <c r="M46" s="416"/>
      <c r="N46" s="161" t="str">
        <f t="shared" si="35"/>
        <v>a1.9) Rambursarea imprumutului</v>
      </c>
      <c r="O46" s="159">
        <f>centralizator!O45</f>
        <v>494.75199999999995</v>
      </c>
      <c r="P46" s="159">
        <f>centralizator!P45</f>
        <v>494.75199999999995</v>
      </c>
      <c r="Q46" s="159">
        <f>centralizator!Q45</f>
        <v>0</v>
      </c>
      <c r="R46" s="159"/>
      <c r="S46" s="159"/>
      <c r="T46" s="159"/>
      <c r="U46" s="159"/>
      <c r="V46" s="159"/>
      <c r="W46" s="159"/>
      <c r="X46" s="159"/>
      <c r="Y46" s="159"/>
      <c r="Z46" s="159"/>
      <c r="AB46" s="160"/>
      <c r="AD46" s="160"/>
    </row>
    <row r="47" spans="1:30">
      <c r="A47" s="413"/>
      <c r="B47" s="162" t="s">
        <v>216</v>
      </c>
      <c r="C47" s="159"/>
      <c r="D47" s="159" t="e">
        <f>'[16]centralizare credite'!E30</f>
        <v>#REF!</v>
      </c>
      <c r="E47" s="159">
        <f>centralizator!D55</f>
        <v>0</v>
      </c>
      <c r="F47" s="159">
        <f>centralizator!H46</f>
        <v>296.39905164444446</v>
      </c>
      <c r="G47" s="159">
        <f>centralizator!I46</f>
        <v>260.95728597777781</v>
      </c>
      <c r="H47" s="159">
        <f>centralizator!J46</f>
        <v>226.34526064444429</v>
      </c>
      <c r="I47" s="159">
        <f>centralizator!K46</f>
        <v>191.73323531111083</v>
      </c>
      <c r="J47" s="159">
        <f>centralizator!L46</f>
        <v>157.5874450222218</v>
      </c>
      <c r="K47" s="159">
        <f>centralizator!M46</f>
        <v>122.50918464444406</v>
      </c>
      <c r="L47" s="159">
        <f>centralizator!N46</f>
        <v>87.897159311110798</v>
      </c>
      <c r="M47" s="416"/>
      <c r="N47" s="161" t="str">
        <f t="shared" si="35"/>
        <v xml:space="preserve">b1.9) Dobanzi </v>
      </c>
      <c r="O47" s="159">
        <f>centralizator!O46</f>
        <v>53.28513397777747</v>
      </c>
      <c r="P47" s="159">
        <f>centralizator!P46</f>
        <v>18.760033822221899</v>
      </c>
      <c r="Q47" s="159">
        <f>centralizator!Q46</f>
        <v>0</v>
      </c>
      <c r="R47" s="159"/>
      <c r="S47" s="159"/>
      <c r="T47" s="159"/>
      <c r="U47" s="159"/>
      <c r="V47" s="159"/>
      <c r="W47" s="159"/>
      <c r="X47" s="159"/>
      <c r="Y47" s="159"/>
      <c r="Z47" s="159"/>
      <c r="AB47" s="160"/>
      <c r="AD47" s="160"/>
    </row>
    <row r="48" spans="1:30">
      <c r="A48" s="414"/>
      <c r="B48" s="162" t="s">
        <v>217</v>
      </c>
      <c r="C48" s="159"/>
      <c r="D48" s="159" t="e">
        <f>'[16]centralizare credite'!E31</f>
        <v>#REF!</v>
      </c>
      <c r="E48" s="159">
        <f>centralizator!D56</f>
        <v>0</v>
      </c>
      <c r="F48" s="159">
        <f>centralizator!H47</f>
        <v>0</v>
      </c>
      <c r="G48" s="159">
        <f>centralizator!I47</f>
        <v>0</v>
      </c>
      <c r="H48" s="159">
        <f>centralizator!J47</f>
        <v>0</v>
      </c>
      <c r="I48" s="159">
        <f>centralizator!K47</f>
        <v>0</v>
      </c>
      <c r="J48" s="159">
        <f>centralizator!L47</f>
        <v>0</v>
      </c>
      <c r="K48" s="159">
        <f>centralizator!M47</f>
        <v>0</v>
      </c>
      <c r="L48" s="159">
        <f>centralizator!N47</f>
        <v>0</v>
      </c>
      <c r="M48" s="417"/>
      <c r="N48" s="161" t="str">
        <f t="shared" si="35"/>
        <v>c1.9) Comisioane</v>
      </c>
      <c r="O48" s="159">
        <f>centralizator!O47</f>
        <v>0</v>
      </c>
      <c r="P48" s="159">
        <f>centralizator!P47</f>
        <v>0</v>
      </c>
      <c r="Q48" s="159">
        <f>centralizator!Q47</f>
        <v>0</v>
      </c>
      <c r="R48" s="159"/>
      <c r="S48" s="159"/>
      <c r="T48" s="159"/>
      <c r="U48" s="159"/>
      <c r="V48" s="159"/>
      <c r="W48" s="159"/>
      <c r="X48" s="159"/>
      <c r="Y48" s="159"/>
      <c r="Z48" s="159"/>
      <c r="AB48" s="160"/>
      <c r="AD48" s="160"/>
    </row>
    <row r="49" spans="1:30" ht="23.4" customHeight="1">
      <c r="A49" s="415" t="s">
        <v>71</v>
      </c>
      <c r="B49" s="158" t="s">
        <v>211</v>
      </c>
      <c r="C49" s="159"/>
      <c r="D49" s="159">
        <f>SUM(D50:D52)</f>
        <v>0</v>
      </c>
      <c r="E49" s="159">
        <f t="shared" ref="E49" si="37">SUM(E50:E52)</f>
        <v>0</v>
      </c>
      <c r="F49" s="159">
        <f>SUM(F50:F52)</f>
        <v>67.288833333333343</v>
      </c>
      <c r="G49" s="159">
        <f t="shared" ref="G49:L49" si="38">SUM(G50:G52)</f>
        <v>709.80383333333339</v>
      </c>
      <c r="H49" s="159">
        <f t="shared" si="38"/>
        <v>2414.2673564814818</v>
      </c>
      <c r="I49" s="159">
        <f t="shared" si="38"/>
        <v>2859.2329120370377</v>
      </c>
      <c r="J49" s="159">
        <f t="shared" si="38"/>
        <v>2731.5362314814829</v>
      </c>
      <c r="K49" s="159">
        <f t="shared" si="38"/>
        <v>2597.9334675925948</v>
      </c>
      <c r="L49" s="159">
        <f t="shared" si="38"/>
        <v>2467.2837453703728</v>
      </c>
      <c r="M49" s="415" t="s">
        <v>71</v>
      </c>
      <c r="N49" s="158" t="str">
        <f t="shared" si="3"/>
        <v xml:space="preserve">Serviciul datoriei publice locale pentru care se solicita autorizarea </v>
      </c>
      <c r="O49" s="159">
        <f>SUM(O50:O52)</f>
        <v>2336.6340231481508</v>
      </c>
      <c r="P49" s="159">
        <f t="shared" ref="P49:S49" si="39">SUM(P50:P52)</f>
        <v>2207.5055648148173</v>
      </c>
      <c r="Q49" s="159">
        <f t="shared" si="39"/>
        <v>2075.334578703706</v>
      </c>
      <c r="R49" s="159">
        <f t="shared" si="39"/>
        <v>1944.6848564814838</v>
      </c>
      <c r="S49" s="159"/>
      <c r="T49" s="159"/>
      <c r="U49" s="159"/>
      <c r="V49" s="159"/>
      <c r="W49" s="159"/>
      <c r="X49" s="159"/>
      <c r="Y49" s="159"/>
      <c r="Z49" s="159"/>
      <c r="AB49" s="160">
        <f>SUM(O49:S49)+SUM(F49:L49)</f>
        <v>22411.505402777795</v>
      </c>
    </row>
    <row r="50" spans="1:30">
      <c r="A50" s="416"/>
      <c r="B50" s="162" t="s">
        <v>168</v>
      </c>
      <c r="C50" s="159"/>
      <c r="D50" s="159">
        <f>'[16]centralizare credite'!E5</f>
        <v>0</v>
      </c>
      <c r="E50" s="159">
        <f>centralizator!D25</f>
        <v>0</v>
      </c>
      <c r="F50" s="159">
        <f>centralizator!H50</f>
        <v>0</v>
      </c>
      <c r="G50" s="159">
        <f>centralizator!I50</f>
        <v>0</v>
      </c>
      <c r="H50" s="159">
        <f>centralizator!J50</f>
        <v>1133.3333333333333</v>
      </c>
      <c r="I50" s="159">
        <f>centralizator!K50</f>
        <v>1700.0000000000002</v>
      </c>
      <c r="J50" s="159">
        <f>centralizator!L50</f>
        <v>1700.0000000000002</v>
      </c>
      <c r="K50" s="159">
        <f>centralizator!M50</f>
        <v>1700.0000000000002</v>
      </c>
      <c r="L50" s="159">
        <f>centralizator!N50</f>
        <v>1700.0000000000002</v>
      </c>
      <c r="M50" s="416"/>
      <c r="N50" s="161" t="str">
        <f t="shared" si="3"/>
        <v>a2) Rambursarea imprumutului (a2.1)</v>
      </c>
      <c r="O50" s="159">
        <f>centralizator!O50</f>
        <v>1700.0000000000002</v>
      </c>
      <c r="P50" s="159">
        <f>centralizator!P50</f>
        <v>1700.0000000000002</v>
      </c>
      <c r="Q50" s="159">
        <f>centralizator!Q50</f>
        <v>1700.0000000000002</v>
      </c>
      <c r="R50" s="159">
        <f>centralizator!R50</f>
        <v>1700.0000000000002</v>
      </c>
      <c r="S50" s="159">
        <f>centralizator!S50</f>
        <v>1700.0000000000002</v>
      </c>
      <c r="T50" s="159">
        <f>centralizator!T50</f>
        <v>566.66666666666663</v>
      </c>
      <c r="U50" s="159">
        <f>centralizator!U50</f>
        <v>0</v>
      </c>
      <c r="V50" s="159"/>
      <c r="W50" s="159"/>
      <c r="X50" s="159"/>
      <c r="Y50" s="159"/>
      <c r="Z50" s="159"/>
      <c r="AB50" s="160"/>
      <c r="AD50" s="160"/>
    </row>
    <row r="51" spans="1:30">
      <c r="A51" s="416"/>
      <c r="B51" s="162" t="s">
        <v>169</v>
      </c>
      <c r="C51" s="159"/>
      <c r="D51" s="159">
        <f>'[16]centralizare credite'!E6</f>
        <v>0</v>
      </c>
      <c r="E51" s="159">
        <f>centralizator!D26</f>
        <v>0</v>
      </c>
      <c r="F51" s="159">
        <f>centralizator!H51</f>
        <v>33.288833333333336</v>
      </c>
      <c r="G51" s="159">
        <f>centralizator!I51</f>
        <v>709.80383333333339</v>
      </c>
      <c r="H51" s="159">
        <f>centralizator!J51</f>
        <v>1280.9340231481485</v>
      </c>
      <c r="I51" s="159">
        <f>centralizator!K51</f>
        <v>1159.2329120370377</v>
      </c>
      <c r="J51" s="159">
        <f>centralizator!L51</f>
        <v>1031.5362314814827</v>
      </c>
      <c r="K51" s="159">
        <f>centralizator!M51</f>
        <v>897.9334675925943</v>
      </c>
      <c r="L51" s="159">
        <f>centralizator!N51</f>
        <v>767.28374537037257</v>
      </c>
      <c r="M51" s="416"/>
      <c r="N51" s="161" t="str">
        <f t="shared" si="3"/>
        <v>b2) Dobanzi (b2.1)</v>
      </c>
      <c r="O51" s="159">
        <f>centralizator!O51</f>
        <v>636.63402314815073</v>
      </c>
      <c r="P51" s="159">
        <f>centralizator!P51</f>
        <v>507.50556481481726</v>
      </c>
      <c r="Q51" s="159">
        <f>centralizator!Q51</f>
        <v>375.3345787037058</v>
      </c>
      <c r="R51" s="159">
        <f>centralizator!R51</f>
        <v>244.68485648148359</v>
      </c>
      <c r="S51" s="159">
        <f>centralizator!S51</f>
        <v>114.03513425926144</v>
      </c>
      <c r="T51" s="159">
        <f>centralizator!T51</f>
        <v>9.0380972222229392</v>
      </c>
      <c r="U51" s="159">
        <f>centralizator!U51</f>
        <v>0</v>
      </c>
      <c r="V51" s="159"/>
      <c r="W51" s="159"/>
      <c r="X51" s="159"/>
      <c r="Y51" s="159"/>
      <c r="Z51" s="159"/>
      <c r="AB51" s="160"/>
      <c r="AD51" s="160"/>
    </row>
    <row r="52" spans="1:30">
      <c r="A52" s="417"/>
      <c r="B52" s="162" t="s">
        <v>170</v>
      </c>
      <c r="C52" s="159"/>
      <c r="D52" s="159">
        <f>'[16]centralizare credite'!E7</f>
        <v>0</v>
      </c>
      <c r="E52" s="159">
        <f>centralizator!D27</f>
        <v>0</v>
      </c>
      <c r="F52" s="159">
        <f>centralizator!H52</f>
        <v>34</v>
      </c>
      <c r="G52" s="159">
        <f>centralizator!I52</f>
        <v>0</v>
      </c>
      <c r="H52" s="159">
        <f>centralizator!J52</f>
        <v>0</v>
      </c>
      <c r="I52" s="159">
        <f>centralizator!K52</f>
        <v>0</v>
      </c>
      <c r="J52" s="159">
        <f>centralizator!L52</f>
        <v>0</v>
      </c>
      <c r="K52" s="159">
        <f>centralizator!M52</f>
        <v>0</v>
      </c>
      <c r="L52" s="159">
        <f>centralizator!N52</f>
        <v>0</v>
      </c>
      <c r="M52" s="417"/>
      <c r="N52" s="161" t="str">
        <f t="shared" si="3"/>
        <v>c2) Comisioane (c2.1)</v>
      </c>
      <c r="O52" s="159">
        <f>centralizator!O52</f>
        <v>0</v>
      </c>
      <c r="P52" s="159">
        <f>centralizator!P52</f>
        <v>0</v>
      </c>
      <c r="Q52" s="159">
        <f>centralizator!Q52</f>
        <v>0</v>
      </c>
      <c r="R52" s="159">
        <f>centralizator!R52</f>
        <v>0</v>
      </c>
      <c r="S52" s="159">
        <f>centralizator!S52</f>
        <v>0</v>
      </c>
      <c r="T52" s="159">
        <f>centralizator!T52</f>
        <v>0</v>
      </c>
      <c r="U52" s="159">
        <f>centralizator!U52</f>
        <v>0</v>
      </c>
      <c r="V52" s="159"/>
      <c r="W52" s="159"/>
      <c r="X52" s="159"/>
      <c r="Y52" s="159"/>
      <c r="Z52" s="159"/>
      <c r="AB52" s="160"/>
      <c r="AD52" s="160"/>
    </row>
    <row r="53" spans="1:30" ht="27" hidden="1" customHeight="1">
      <c r="A53" s="415" t="s">
        <v>150</v>
      </c>
      <c r="B53" s="161" t="s">
        <v>163</v>
      </c>
      <c r="C53" s="159"/>
      <c r="D53" s="159" t="e">
        <f>SUM(D54:D56)</f>
        <v>#REF!</v>
      </c>
      <c r="E53" s="159" t="e">
        <f t="shared" ref="E53:L53" si="40">SUM(E54:E56)</f>
        <v>#REF!</v>
      </c>
      <c r="F53" s="159">
        <f>centralizator!G38</f>
        <v>0</v>
      </c>
      <c r="G53" s="159">
        <f t="shared" si="40"/>
        <v>0</v>
      </c>
      <c r="H53" s="159">
        <f t="shared" si="40"/>
        <v>0</v>
      </c>
      <c r="I53" s="159">
        <f t="shared" si="40"/>
        <v>0</v>
      </c>
      <c r="J53" s="159">
        <f t="shared" si="40"/>
        <v>0</v>
      </c>
      <c r="K53" s="159">
        <f t="shared" si="40"/>
        <v>0</v>
      </c>
      <c r="L53" s="159">
        <f t="shared" si="40"/>
        <v>0</v>
      </c>
      <c r="M53" s="415" t="s">
        <v>150</v>
      </c>
      <c r="N53" s="161" t="str">
        <f t="shared" ref="N53:N60" si="41">B53</f>
        <v>Serviciul datoriei publice locale pentru care se solicita autorizarea (refinantare Alpha Bank 13 mil ron)</v>
      </c>
      <c r="O53" s="159">
        <f>SUM(O54:O56)</f>
        <v>0</v>
      </c>
      <c r="P53" s="159">
        <f>SUM(P54:P56)</f>
        <v>0</v>
      </c>
      <c r="Q53" s="159">
        <f>SUM(Q54:Q56)</f>
        <v>0</v>
      </c>
      <c r="R53" s="159">
        <f>SUM(R54:R56)</f>
        <v>0</v>
      </c>
      <c r="S53" s="159"/>
      <c r="T53" s="159"/>
      <c r="U53" s="159"/>
      <c r="V53" s="159"/>
      <c r="W53" s="159"/>
      <c r="X53" s="159"/>
      <c r="Y53" s="159"/>
      <c r="Z53" s="159"/>
      <c r="AB53" s="160"/>
    </row>
    <row r="54" spans="1:30" hidden="1">
      <c r="A54" s="416"/>
      <c r="B54" s="162" t="s">
        <v>156</v>
      </c>
      <c r="C54" s="159"/>
      <c r="D54" s="159" t="e">
        <f>'[16]centralizare credite'!E9</f>
        <v>#REF!</v>
      </c>
      <c r="E54" s="159" t="e">
        <f>centralizator!#REF!</f>
        <v>#REF!</v>
      </c>
      <c r="F54" s="159">
        <f>centralizator!G54</f>
        <v>0</v>
      </c>
      <c r="G54" s="159"/>
      <c r="H54" s="159"/>
      <c r="I54" s="159"/>
      <c r="J54" s="159"/>
      <c r="K54" s="159"/>
      <c r="L54" s="159"/>
      <c r="M54" s="416"/>
      <c r="N54" s="161" t="str">
        <f t="shared" si="41"/>
        <v>a2.1) Rambursarea imprumutului</v>
      </c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B54" s="160"/>
      <c r="AD54" s="160"/>
    </row>
    <row r="55" spans="1:30" hidden="1">
      <c r="A55" s="416"/>
      <c r="B55" s="162" t="s">
        <v>157</v>
      </c>
      <c r="C55" s="159"/>
      <c r="D55" s="159">
        <f>'[16]centralizare credite'!E10</f>
        <v>745.27433217599992</v>
      </c>
      <c r="E55" s="159" t="e">
        <f>centralizator!#REF!</f>
        <v>#REF!</v>
      </c>
      <c r="F55" s="159"/>
      <c r="G55" s="159"/>
      <c r="H55" s="159"/>
      <c r="I55" s="159"/>
      <c r="J55" s="159"/>
      <c r="K55" s="159"/>
      <c r="L55" s="159"/>
      <c r="M55" s="416"/>
      <c r="N55" s="161" t="str">
        <f t="shared" si="41"/>
        <v xml:space="preserve">b2.1) Dobanzi </v>
      </c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B55" s="160"/>
      <c r="AD55" s="160"/>
    </row>
    <row r="56" spans="1:30" hidden="1">
      <c r="A56" s="417"/>
      <c r="B56" s="162" t="s">
        <v>158</v>
      </c>
      <c r="C56" s="159"/>
      <c r="D56" s="159">
        <f>'[16]centralizare credite'!E11</f>
        <v>339.24244272808545</v>
      </c>
      <c r="E56" s="159" t="e">
        <f>centralizator!#REF!</f>
        <v>#REF!</v>
      </c>
      <c r="F56" s="159"/>
      <c r="G56" s="159"/>
      <c r="H56" s="159"/>
      <c r="I56" s="159"/>
      <c r="J56" s="159"/>
      <c r="K56" s="159"/>
      <c r="L56" s="159"/>
      <c r="M56" s="417"/>
      <c r="N56" s="161" t="str">
        <f t="shared" si="41"/>
        <v>c2.1) Comisioane</v>
      </c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B56" s="160"/>
      <c r="AD56" s="160"/>
    </row>
    <row r="57" spans="1:30" ht="27" hidden="1" customHeight="1">
      <c r="A57" s="415" t="s">
        <v>151</v>
      </c>
      <c r="B57" s="161" t="s">
        <v>152</v>
      </c>
      <c r="C57" s="159"/>
      <c r="D57" s="159" t="e">
        <f>SUM(D58:D60)</f>
        <v>#REF!</v>
      </c>
      <c r="E57" s="159" t="e">
        <f t="shared" ref="E57:L57" si="42">SUM(E58:E60)</f>
        <v>#REF!</v>
      </c>
      <c r="F57" s="159"/>
      <c r="G57" s="159">
        <f t="shared" si="42"/>
        <v>0</v>
      </c>
      <c r="H57" s="159">
        <f t="shared" si="42"/>
        <v>0</v>
      </c>
      <c r="I57" s="159">
        <f t="shared" si="42"/>
        <v>0</v>
      </c>
      <c r="J57" s="159">
        <f t="shared" si="42"/>
        <v>0</v>
      </c>
      <c r="K57" s="159">
        <f t="shared" si="42"/>
        <v>0</v>
      </c>
      <c r="L57" s="159">
        <f t="shared" si="42"/>
        <v>0</v>
      </c>
      <c r="M57" s="415" t="s">
        <v>151</v>
      </c>
      <c r="N57" s="161" t="str">
        <f t="shared" si="41"/>
        <v>Serviciul datoriei publice locale pentru care se solicita autorizarea (credit BCR 11 mil ron)</v>
      </c>
      <c r="O57" s="159">
        <f t="shared" ref="O57:S57" si="43">SUM(O58:O60)</f>
        <v>0</v>
      </c>
      <c r="P57" s="159">
        <f t="shared" si="43"/>
        <v>0</v>
      </c>
      <c r="Q57" s="159">
        <f t="shared" si="43"/>
        <v>0</v>
      </c>
      <c r="R57" s="159">
        <f t="shared" si="43"/>
        <v>0</v>
      </c>
      <c r="S57" s="159"/>
      <c r="T57" s="159"/>
      <c r="U57" s="159"/>
      <c r="V57" s="159"/>
      <c r="W57" s="159"/>
      <c r="X57" s="159"/>
      <c r="Y57" s="159"/>
      <c r="Z57" s="159"/>
      <c r="AB57" s="160"/>
    </row>
    <row r="58" spans="1:30" hidden="1">
      <c r="A58" s="416"/>
      <c r="B58" s="162" t="s">
        <v>153</v>
      </c>
      <c r="C58" s="159"/>
      <c r="D58" s="159" t="e">
        <f>'[16]centralizare credite'!E13</f>
        <v>#REF!</v>
      </c>
      <c r="E58" s="159" t="e">
        <f>centralizator!#REF!</f>
        <v>#REF!</v>
      </c>
      <c r="F58" s="159">
        <f>centralizator!G58</f>
        <v>0</v>
      </c>
      <c r="G58" s="159"/>
      <c r="H58" s="159"/>
      <c r="I58" s="159"/>
      <c r="J58" s="159"/>
      <c r="K58" s="159"/>
      <c r="L58" s="159"/>
      <c r="M58" s="416"/>
      <c r="N58" s="161" t="str">
        <f t="shared" si="41"/>
        <v>a2.2) Rambursarea imprumutului</v>
      </c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B58" s="160"/>
      <c r="AD58" s="160"/>
    </row>
    <row r="59" spans="1:30" hidden="1">
      <c r="A59" s="416"/>
      <c r="B59" s="162" t="s">
        <v>154</v>
      </c>
      <c r="C59" s="159"/>
      <c r="D59" s="159" t="e">
        <f>'[16]centralizare credite'!E14</f>
        <v>#REF!</v>
      </c>
      <c r="E59" s="159">
        <f>centralizator!D29</f>
        <v>0</v>
      </c>
      <c r="F59" s="159">
        <f>centralizator!G59</f>
        <v>0</v>
      </c>
      <c r="G59" s="159"/>
      <c r="H59" s="159"/>
      <c r="I59" s="159"/>
      <c r="J59" s="159"/>
      <c r="K59" s="159"/>
      <c r="L59" s="159"/>
      <c r="M59" s="416"/>
      <c r="N59" s="161" t="str">
        <f t="shared" si="41"/>
        <v xml:space="preserve">b2.2) Dobanzi </v>
      </c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B59" s="160"/>
      <c r="AD59" s="160"/>
    </row>
    <row r="60" spans="1:30" hidden="1">
      <c r="A60" s="417"/>
      <c r="B60" s="162" t="s">
        <v>155</v>
      </c>
      <c r="C60" s="159"/>
      <c r="D60" s="159" t="e">
        <f>'[16]centralizare credite'!E15</f>
        <v>#REF!</v>
      </c>
      <c r="E60" s="159">
        <f>centralizator!D30</f>
        <v>0</v>
      </c>
      <c r="F60" s="159"/>
      <c r="G60" s="159"/>
      <c r="H60" s="159"/>
      <c r="I60" s="159"/>
      <c r="J60" s="159"/>
      <c r="K60" s="159"/>
      <c r="L60" s="159"/>
      <c r="M60" s="417"/>
      <c r="N60" s="161" t="str">
        <f t="shared" si="41"/>
        <v>c2.2) Comisioane</v>
      </c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B60" s="160"/>
      <c r="AD60" s="160"/>
    </row>
    <row r="61" spans="1:30" ht="15" customHeight="1">
      <c r="A61" s="415" t="s">
        <v>72</v>
      </c>
      <c r="B61" s="158" t="s">
        <v>73</v>
      </c>
      <c r="C61" s="159"/>
      <c r="D61" s="159" t="e">
        <f t="shared" ref="D61:E61" si="44">SUM(D62:D64)</f>
        <v>#REF!</v>
      </c>
      <c r="E61" s="159" t="e">
        <f t="shared" si="44"/>
        <v>#REF!</v>
      </c>
      <c r="F61" s="159">
        <f>F62+F63+F64</f>
        <v>10436.163346214957</v>
      </c>
      <c r="G61" s="159">
        <f>G62+G63+G64</f>
        <v>9584.9881766524359</v>
      </c>
      <c r="H61" s="159">
        <f t="shared" ref="H61:L61" si="45">H62+H63+H64</f>
        <v>9917.8963710065182</v>
      </c>
      <c r="I61" s="159">
        <f t="shared" si="45"/>
        <v>9735.6110033470577</v>
      </c>
      <c r="J61" s="159">
        <f t="shared" si="45"/>
        <v>9006.8037723475463</v>
      </c>
      <c r="K61" s="159">
        <f t="shared" si="45"/>
        <v>8315.0261691693249</v>
      </c>
      <c r="L61" s="159">
        <f t="shared" si="45"/>
        <v>7401.7677289467028</v>
      </c>
      <c r="M61" s="415" t="s">
        <v>72</v>
      </c>
      <c r="N61" s="158" t="str">
        <f t="shared" si="3"/>
        <v>Serviciul total datoriei publice locale (a3+b3+c3)</v>
      </c>
      <c r="O61" s="159">
        <f>O62+O63+O64</f>
        <v>5472.1088247533535</v>
      </c>
      <c r="P61" s="159">
        <f>P62+P63+P64</f>
        <v>3836.5561573642244</v>
      </c>
      <c r="Q61" s="159">
        <f t="shared" ref="Q61:S61" si="46">Q62+Q63+Q64</f>
        <v>2603.1188709743915</v>
      </c>
      <c r="R61" s="159">
        <f t="shared" si="46"/>
        <v>1944.6848564814838</v>
      </c>
      <c r="S61" s="159">
        <f t="shared" ref="S61:T61" si="47">S62+S63+S64</f>
        <v>1814.0351342592617</v>
      </c>
      <c r="T61" s="159">
        <f t="shared" si="47"/>
        <v>575.7047638888896</v>
      </c>
      <c r="U61" s="159"/>
      <c r="V61" s="159"/>
      <c r="W61" s="159"/>
      <c r="X61" s="159"/>
      <c r="Y61" s="159"/>
      <c r="Z61" s="159"/>
      <c r="AB61" s="160"/>
    </row>
    <row r="62" spans="1:30">
      <c r="A62" s="416"/>
      <c r="B62" s="162" t="s">
        <v>74</v>
      </c>
      <c r="C62" s="159"/>
      <c r="D62" s="159" t="e">
        <f>SUM(D10,D22)</f>
        <v>#REF!</v>
      </c>
      <c r="E62" s="159" t="e">
        <f>SUM(E10,E54)</f>
        <v>#REF!</v>
      </c>
      <c r="F62" s="159">
        <f>F10+F50</f>
        <v>7349.6880800476902</v>
      </c>
      <c r="G62" s="159">
        <f>G10+G50</f>
        <v>6405.2850600476904</v>
      </c>
      <c r="H62" s="159">
        <f>H10+H50</f>
        <v>6594.2193733810245</v>
      </c>
      <c r="I62" s="159">
        <f>I10+I50</f>
        <v>6937.6616230236905</v>
      </c>
      <c r="J62" s="159">
        <f>J10+J50</f>
        <v>6714.2291440476911</v>
      </c>
      <c r="K62" s="159">
        <f>K10+K50</f>
        <v>6532.2952824237582</v>
      </c>
      <c r="L62" s="159">
        <f>L10+L50</f>
        <v>6101.1082477683676</v>
      </c>
      <c r="M62" s="416"/>
      <c r="N62" s="161" t="str">
        <f t="shared" si="3"/>
        <v>a3) Rambursarea imprumutului (a1+a2)</v>
      </c>
      <c r="O62" s="159">
        <f>O10+O50</f>
        <v>4595.3600779267372</v>
      </c>
      <c r="P62" s="159">
        <f>P10+P50</f>
        <v>3233.9387200000001</v>
      </c>
      <c r="Q62" s="159">
        <f>Q10+Q50</f>
        <v>2219.5933600000003</v>
      </c>
      <c r="R62" s="159">
        <f>R10+R50</f>
        <v>1700.0000000000002</v>
      </c>
      <c r="S62" s="159">
        <f t="shared" ref="S62:T62" si="48">S10+S50</f>
        <v>1700.0000000000002</v>
      </c>
      <c r="T62" s="159">
        <f t="shared" si="48"/>
        <v>566.66666666666663</v>
      </c>
      <c r="U62" s="159"/>
      <c r="V62" s="159"/>
      <c r="W62" s="159"/>
      <c r="X62" s="159"/>
      <c r="Y62" s="159"/>
      <c r="Z62" s="159"/>
      <c r="AB62" s="160"/>
    </row>
    <row r="63" spans="1:30">
      <c r="A63" s="416"/>
      <c r="B63" s="162" t="s">
        <v>75</v>
      </c>
      <c r="C63" s="159"/>
      <c r="D63" s="159" t="e">
        <f>SUM(D11,D23)</f>
        <v>#REF!</v>
      </c>
      <c r="E63" s="159" t="e">
        <f>SUM(E11,E55)</f>
        <v>#REF!</v>
      </c>
      <c r="F63" s="159">
        <f>F11+F51</f>
        <v>3052.475266167266</v>
      </c>
      <c r="G63" s="159">
        <f>G11+G51</f>
        <v>3179.7031166047454</v>
      </c>
      <c r="H63" s="159">
        <f>H11+H51</f>
        <v>3323.6769976254946</v>
      </c>
      <c r="I63" s="159">
        <f>I11+I51</f>
        <v>2797.9493803233663</v>
      </c>
      <c r="J63" s="159">
        <f>J11+J51</f>
        <v>2292.5746282998552</v>
      </c>
      <c r="K63" s="159">
        <f>K11+K51</f>
        <v>1782.7308867455665</v>
      </c>
      <c r="L63" s="159">
        <f>L11+L51</f>
        <v>1300.6594811783348</v>
      </c>
      <c r="M63" s="416"/>
      <c r="N63" s="161" t="str">
        <f t="shared" si="3"/>
        <v>b3) Dobanzi (b1+b2)</v>
      </c>
      <c r="O63" s="159">
        <f>O11+O51</f>
        <v>876.74874682661584</v>
      </c>
      <c r="P63" s="159">
        <f>P11+P51</f>
        <v>602.61743736422443</v>
      </c>
      <c r="Q63" s="159">
        <f>Q11+Q51</f>
        <v>383.52551097439101</v>
      </c>
      <c r="R63" s="159">
        <f>R11+R51</f>
        <v>244.68485648148359</v>
      </c>
      <c r="S63" s="159">
        <f t="shared" ref="S63:T63" si="49">S11+S51</f>
        <v>114.03513425926144</v>
      </c>
      <c r="T63" s="159">
        <f t="shared" si="49"/>
        <v>9.0380972222229392</v>
      </c>
      <c r="U63" s="159"/>
      <c r="V63" s="159"/>
      <c r="W63" s="159"/>
      <c r="X63" s="159"/>
      <c r="Y63" s="159"/>
      <c r="Z63" s="159"/>
      <c r="AB63" s="160"/>
    </row>
    <row r="64" spans="1:30">
      <c r="A64" s="417"/>
      <c r="B64" s="162" t="s">
        <v>76</v>
      </c>
      <c r="C64" s="159"/>
      <c r="D64" s="159" t="e">
        <f>SUM(D12,D24)</f>
        <v>#REF!</v>
      </c>
      <c r="E64" s="159" t="e">
        <f>SUM(E12,E56)</f>
        <v>#REF!</v>
      </c>
      <c r="F64" s="159">
        <f>F12+F52</f>
        <v>34</v>
      </c>
      <c r="G64" s="159">
        <f>G12+G52</f>
        <v>0</v>
      </c>
      <c r="H64" s="159">
        <f>H12+H52</f>
        <v>0</v>
      </c>
      <c r="I64" s="159">
        <f>I12+I52</f>
        <v>0</v>
      </c>
      <c r="J64" s="159">
        <f>J12+J52</f>
        <v>0</v>
      </c>
      <c r="K64" s="159">
        <f>K12+K52</f>
        <v>0</v>
      </c>
      <c r="L64" s="159">
        <f>L12+L52</f>
        <v>0</v>
      </c>
      <c r="M64" s="417"/>
      <c r="N64" s="161" t="str">
        <f t="shared" si="3"/>
        <v>c3) Comisioane (c1+c2)</v>
      </c>
      <c r="O64" s="159">
        <f>O12+O52</f>
        <v>0</v>
      </c>
      <c r="P64" s="159">
        <f>P12+P52</f>
        <v>0</v>
      </c>
      <c r="Q64" s="159">
        <f>Q12+Q52</f>
        <v>0</v>
      </c>
      <c r="R64" s="159">
        <f>R12+R52</f>
        <v>0</v>
      </c>
      <c r="S64" s="159">
        <f t="shared" ref="S64:T64" si="50">S12+S52</f>
        <v>0</v>
      </c>
      <c r="T64" s="159">
        <f t="shared" si="50"/>
        <v>0</v>
      </c>
      <c r="U64" s="159"/>
      <c r="V64" s="159"/>
      <c r="W64" s="159"/>
      <c r="X64" s="159"/>
      <c r="Y64" s="159"/>
      <c r="Z64" s="159"/>
      <c r="AB64" s="160"/>
    </row>
    <row r="65" spans="1:28" ht="15.75" customHeight="1">
      <c r="A65" s="368"/>
      <c r="B65" s="371"/>
      <c r="C65" s="369"/>
      <c r="D65" s="369"/>
      <c r="E65" s="369"/>
      <c r="F65" s="369"/>
      <c r="G65" s="369"/>
      <c r="H65" s="369"/>
      <c r="I65" s="369"/>
      <c r="J65" s="369"/>
      <c r="K65" s="369"/>
      <c r="L65" s="369"/>
      <c r="M65" s="368"/>
      <c r="N65" s="429">
        <f>B65</f>
        <v>0</v>
      </c>
      <c r="O65" s="429"/>
      <c r="P65" s="429"/>
      <c r="Q65" s="369"/>
      <c r="R65" s="369"/>
      <c r="S65" s="370"/>
      <c r="T65" s="370"/>
      <c r="U65" s="370"/>
      <c r="V65" s="370"/>
      <c r="W65" s="369"/>
      <c r="X65" s="369"/>
      <c r="Y65" s="369"/>
      <c r="Z65" s="369"/>
      <c r="AB65" s="160"/>
    </row>
    <row r="66" spans="1:28" ht="13.8">
      <c r="B66" s="305" t="s">
        <v>59</v>
      </c>
      <c r="C66" s="305"/>
      <c r="D66" s="306"/>
      <c r="E66" s="306"/>
      <c r="F66" s="306"/>
      <c r="G66" s="427" t="s">
        <v>137</v>
      </c>
      <c r="H66" s="427"/>
      <c r="I66" s="427"/>
      <c r="J66" s="306"/>
      <c r="K66" s="307"/>
      <c r="L66" s="305"/>
      <c r="M66" s="306"/>
      <c r="N66" s="305" t="s">
        <v>59</v>
      </c>
      <c r="O66" s="305"/>
      <c r="P66" s="306"/>
      <c r="Q66" s="306"/>
      <c r="R66" s="306"/>
      <c r="S66" s="428" t="str">
        <f>G66</f>
        <v>SEF SERVICIU CONTABILITATE</v>
      </c>
      <c r="T66" s="428"/>
      <c r="U66" s="428"/>
      <c r="V66" s="428"/>
      <c r="W66" s="306"/>
      <c r="X66" s="306"/>
      <c r="Y66" s="306"/>
      <c r="Z66" s="306"/>
    </row>
    <row r="67" spans="1:28" ht="13.8">
      <c r="B67" s="305"/>
      <c r="C67" s="305"/>
      <c r="D67" s="306"/>
      <c r="E67" s="306"/>
      <c r="F67" s="306"/>
      <c r="G67" s="306"/>
      <c r="H67" s="306"/>
      <c r="I67" s="306"/>
      <c r="J67" s="306"/>
      <c r="K67" s="307"/>
      <c r="L67" s="305"/>
      <c r="M67" s="306"/>
      <c r="N67" s="305"/>
      <c r="O67" s="305"/>
      <c r="P67" s="306"/>
      <c r="Q67" s="306"/>
      <c r="R67" s="306"/>
      <c r="S67" s="306"/>
      <c r="T67" s="306"/>
      <c r="U67" s="306"/>
      <c r="V67" s="306"/>
      <c r="W67" s="306"/>
      <c r="X67" s="306"/>
      <c r="Y67" s="306"/>
      <c r="Z67" s="306"/>
    </row>
    <row r="68" spans="1:28" ht="13.8">
      <c r="B68" s="305" t="s">
        <v>60</v>
      </c>
      <c r="C68" s="305"/>
      <c r="D68" s="306"/>
      <c r="E68" s="306"/>
      <c r="F68" s="306"/>
      <c r="G68" s="306"/>
      <c r="H68" s="306"/>
      <c r="I68" s="306"/>
      <c r="J68" s="307"/>
      <c r="K68" s="307"/>
      <c r="L68" s="305"/>
      <c r="M68" s="306"/>
      <c r="N68" s="305" t="s">
        <v>60</v>
      </c>
      <c r="O68" s="305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306"/>
    </row>
    <row r="69" spans="1:28" ht="13.8">
      <c r="B69" s="308" t="s">
        <v>88</v>
      </c>
      <c r="C69" s="308"/>
      <c r="D69" s="306"/>
      <c r="E69" s="306"/>
      <c r="F69" s="306"/>
      <c r="G69" s="427" t="s">
        <v>86</v>
      </c>
      <c r="H69" s="427"/>
      <c r="I69" s="427"/>
      <c r="J69" s="307"/>
      <c r="K69" s="307"/>
      <c r="L69" s="308"/>
      <c r="M69" s="306"/>
      <c r="N69" s="309" t="str">
        <f>B69</f>
        <v>Vlad Gheorghe Oprea</v>
      </c>
      <c r="O69" s="308"/>
      <c r="P69" s="306"/>
      <c r="Q69" s="306"/>
      <c r="R69" s="306"/>
      <c r="S69" s="427" t="str">
        <f>G69</f>
        <v>Vasile Paula</v>
      </c>
      <c r="T69" s="427"/>
      <c r="U69" s="427"/>
      <c r="V69" s="306"/>
      <c r="W69" s="306"/>
      <c r="X69" s="306"/>
      <c r="Y69" s="306"/>
      <c r="Z69" s="306"/>
    </row>
    <row r="70" spans="1:28">
      <c r="K70" s="160"/>
    </row>
    <row r="71" spans="1:28">
      <c r="F71" s="160"/>
      <c r="G71" s="160"/>
      <c r="K71" s="160"/>
      <c r="R71" s="160"/>
    </row>
    <row r="72" spans="1:28">
      <c r="F72" s="160"/>
      <c r="G72" s="160"/>
      <c r="I72" s="160"/>
      <c r="K72" s="160"/>
      <c r="R72" s="160"/>
    </row>
    <row r="73" spans="1:28">
      <c r="F73" s="160"/>
      <c r="G73" s="348"/>
      <c r="H73" s="160"/>
      <c r="I73" s="160"/>
      <c r="J73" s="160"/>
      <c r="L73" s="160"/>
      <c r="O73" s="160"/>
      <c r="P73" s="160"/>
      <c r="Q73" s="160"/>
      <c r="R73" s="160"/>
      <c r="S73" s="160"/>
    </row>
    <row r="74" spans="1:28"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</row>
    <row r="75" spans="1:28"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</row>
    <row r="76" spans="1:28">
      <c r="G76" s="160"/>
      <c r="I76" s="160"/>
      <c r="K76" s="160"/>
      <c r="L76" s="160"/>
      <c r="N76" s="160"/>
      <c r="P76" s="160"/>
    </row>
    <row r="77" spans="1:28">
      <c r="K77" s="160"/>
      <c r="N77" s="160"/>
      <c r="P77" s="160"/>
    </row>
    <row r="79" spans="1:28">
      <c r="N79" s="160"/>
    </row>
  </sheetData>
  <mergeCells count="43">
    <mergeCell ref="A21:A24"/>
    <mergeCell ref="M21:M24"/>
    <mergeCell ref="A53:A56"/>
    <mergeCell ref="M53:M56"/>
    <mergeCell ref="A61:A64"/>
    <mergeCell ref="M61:M64"/>
    <mergeCell ref="A57:A60"/>
    <mergeCell ref="M57:M60"/>
    <mergeCell ref="A49:A52"/>
    <mergeCell ref="M49:M52"/>
    <mergeCell ref="A29:A32"/>
    <mergeCell ref="M29:M32"/>
    <mergeCell ref="A37:A40"/>
    <mergeCell ref="M37:M40"/>
    <mergeCell ref="A41:A44"/>
    <mergeCell ref="M41:M44"/>
    <mergeCell ref="G69:I69"/>
    <mergeCell ref="A25:A28"/>
    <mergeCell ref="M25:M28"/>
    <mergeCell ref="S69:U69"/>
    <mergeCell ref="S66:V66"/>
    <mergeCell ref="G66:I66"/>
    <mergeCell ref="N65:P65"/>
    <mergeCell ref="A33:A36"/>
    <mergeCell ref="M33:M36"/>
    <mergeCell ref="A45:A48"/>
    <mergeCell ref="M45:M48"/>
    <mergeCell ref="N4:X4"/>
    <mergeCell ref="A7:A8"/>
    <mergeCell ref="B7:B8"/>
    <mergeCell ref="C7:L7"/>
    <mergeCell ref="M7:M8"/>
    <mergeCell ref="N7:N8"/>
    <mergeCell ref="O7:Z7"/>
    <mergeCell ref="A4:L4"/>
    <mergeCell ref="B5:K5"/>
    <mergeCell ref="N5:V5"/>
    <mergeCell ref="A9:A12"/>
    <mergeCell ref="M9:M12"/>
    <mergeCell ref="A17:A20"/>
    <mergeCell ref="M17:M20"/>
    <mergeCell ref="A13:A16"/>
    <mergeCell ref="M13:M16"/>
  </mergeCells>
  <printOptions horizontalCentered="1" verticalCentered="1"/>
  <pageMargins left="0" right="0" top="0" bottom="0" header="0.25" footer="0.25"/>
  <pageSetup paperSize="9" scale="64" orientation="landscape" r:id="rId1"/>
  <headerFooter alignWithMargins="0">
    <oddHeader>&amp;Rpagina &amp;P</oddHeader>
  </headerFooter>
  <colBreaks count="1" manualBreakCount="1">
    <brk id="1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F3:Q18"/>
  <sheetViews>
    <sheetView workbookViewId="0">
      <selection activeCell="J23" sqref="J23"/>
    </sheetView>
  </sheetViews>
  <sheetFormatPr defaultRowHeight="13.2"/>
  <cols>
    <col min="8" max="9" width="16.6640625" bestFit="1" customWidth="1"/>
  </cols>
  <sheetData>
    <row r="3" spans="6:17">
      <c r="H3" s="200">
        <v>1941096.55</v>
      </c>
      <c r="I3" s="200">
        <v>1045205.83</v>
      </c>
      <c r="J3" s="200"/>
    </row>
    <row r="4" spans="6:17">
      <c r="F4" s="200"/>
      <c r="G4" s="200"/>
      <c r="H4" s="200"/>
      <c r="I4" s="200">
        <v>5704706.6699999999</v>
      </c>
      <c r="J4" s="200"/>
      <c r="K4" s="200"/>
      <c r="L4" s="200"/>
      <c r="M4" s="200"/>
      <c r="N4" s="200"/>
      <c r="O4" s="200"/>
      <c r="P4" s="200"/>
      <c r="Q4" s="200"/>
    </row>
    <row r="5" spans="6:17">
      <c r="F5" s="200"/>
      <c r="G5" s="200"/>
      <c r="H5" s="200">
        <v>10181818</v>
      </c>
      <c r="I5" s="200">
        <v>9372922.0299999993</v>
      </c>
      <c r="J5" s="200"/>
      <c r="K5" s="200"/>
      <c r="L5" s="200"/>
      <c r="M5" s="200"/>
      <c r="N5" s="200"/>
      <c r="O5" s="200"/>
      <c r="P5" s="200"/>
      <c r="Q5" s="200"/>
    </row>
    <row r="6" spans="6:17">
      <c r="F6" s="200"/>
      <c r="G6" s="200"/>
      <c r="H6" s="200">
        <v>11000000</v>
      </c>
      <c r="I6" s="200">
        <v>9525878.2699999996</v>
      </c>
      <c r="J6" s="200"/>
      <c r="K6" s="200"/>
      <c r="L6" s="200"/>
      <c r="M6" s="200"/>
      <c r="N6" s="200"/>
      <c r="O6" s="200"/>
      <c r="P6" s="200"/>
      <c r="Q6" s="200"/>
    </row>
    <row r="7" spans="6:17">
      <c r="F7" s="200"/>
      <c r="G7" s="200"/>
      <c r="H7" s="200">
        <v>10391867.199999999</v>
      </c>
      <c r="I7" s="200"/>
      <c r="J7" s="200"/>
      <c r="K7" s="200"/>
      <c r="L7" s="200"/>
      <c r="M7" s="200"/>
      <c r="N7" s="200"/>
      <c r="O7" s="200"/>
      <c r="P7" s="200"/>
      <c r="Q7" s="200"/>
    </row>
    <row r="8" spans="6:17"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</row>
    <row r="9" spans="6:17"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6:17"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</row>
    <row r="11" spans="6:17"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6:17">
      <c r="F12" s="200"/>
      <c r="G12" s="200"/>
      <c r="H12" s="200">
        <f>SUM(H3:H11)</f>
        <v>33514781.75</v>
      </c>
      <c r="I12" s="200">
        <f>SUM(I3:I11)</f>
        <v>25648712.799999997</v>
      </c>
      <c r="J12" s="200"/>
      <c r="K12" s="200"/>
      <c r="L12" s="200"/>
      <c r="M12" s="200"/>
      <c r="N12" s="200"/>
      <c r="O12" s="200"/>
      <c r="P12" s="200"/>
      <c r="Q12" s="200"/>
    </row>
    <row r="13" spans="6:17"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6:17"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</row>
    <row r="15" spans="6:17"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</row>
    <row r="16" spans="6:17"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</row>
    <row r="17" spans="6:17"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</row>
    <row r="18" spans="6:17"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A72"/>
  <sheetViews>
    <sheetView workbookViewId="0">
      <pane xSplit="4" ySplit="5" topLeftCell="F36" activePane="bottomRight" state="frozen"/>
      <selection pane="topRight" activeCell="E1" sqref="E1"/>
      <selection pane="bottomLeft" activeCell="A6" sqref="A6"/>
      <selection pane="bottomRight" activeCell="Q2" sqref="Q2"/>
    </sheetView>
  </sheetViews>
  <sheetFormatPr defaultRowHeight="13.2"/>
  <cols>
    <col min="3" max="3" width="4.109375" customWidth="1"/>
    <col min="4" max="4" width="0.33203125" customWidth="1"/>
    <col min="5" max="5" width="9.77734375" hidden="1" customWidth="1"/>
    <col min="6" max="6" width="10.44140625" customWidth="1"/>
    <col min="7" max="7" width="9.6640625" customWidth="1"/>
    <col min="8" max="8" width="10.77734375" customWidth="1"/>
    <col min="9" max="9" width="10.44140625" customWidth="1"/>
    <col min="10" max="10" width="9.77734375" customWidth="1"/>
    <col min="11" max="11" width="10.109375" customWidth="1"/>
    <col min="12" max="12" width="9.77734375" customWidth="1"/>
    <col min="13" max="13" width="10" customWidth="1"/>
    <col min="14" max="14" width="9.33203125" customWidth="1"/>
    <col min="15" max="15" width="9.77734375" customWidth="1"/>
    <col min="16" max="16" width="8.77734375" customWidth="1"/>
    <col min="17" max="17" width="8.109375" customWidth="1"/>
    <col min="18" max="18" width="8" customWidth="1"/>
    <col min="19" max="21" width="8" hidden="1" customWidth="1"/>
    <col min="22" max="24" width="12.77734375" bestFit="1" customWidth="1"/>
  </cols>
  <sheetData>
    <row r="1" spans="1:27">
      <c r="P1">
        <f>22500/4000</f>
        <v>5.625</v>
      </c>
    </row>
    <row r="2" spans="1:27" s="3" customFormat="1" ht="35.1" customHeight="1">
      <c r="A2" s="1"/>
      <c r="B2" s="430" t="str">
        <f>'grad indatorare'!B1:H1</f>
        <v>Primaria Orasului Sinaia</v>
      </c>
      <c r="C2" s="430"/>
      <c r="D2" s="430"/>
      <c r="E2" s="430"/>
      <c r="F2" s="430"/>
      <c r="G2" s="430"/>
      <c r="H2" s="430"/>
      <c r="I2" s="385"/>
      <c r="J2" s="385"/>
      <c r="K2" s="385"/>
      <c r="L2" s="385"/>
      <c r="M2" s="385"/>
      <c r="N2" s="385"/>
      <c r="O2" s="385"/>
      <c r="P2" s="2"/>
      <c r="Q2" s="2"/>
      <c r="R2" s="125">
        <v>1000</v>
      </c>
      <c r="S2" s="2"/>
      <c r="T2" s="2"/>
      <c r="U2" s="2"/>
      <c r="V2" s="2"/>
      <c r="W2" s="2"/>
      <c r="X2" s="2"/>
      <c r="Y2" s="2"/>
      <c r="Z2" s="2"/>
      <c r="AA2" s="2"/>
    </row>
    <row r="3" spans="1:27" s="9" customFormat="1" ht="15.75" customHeight="1">
      <c r="A3" s="4"/>
      <c r="B3" s="5"/>
      <c r="C3" s="5"/>
      <c r="D3" s="5"/>
      <c r="E3" s="209" t="s">
        <v>102</v>
      </c>
      <c r="F3" s="209"/>
      <c r="G3" s="209"/>
      <c r="H3" s="209"/>
      <c r="I3" s="209"/>
      <c r="J3" s="209"/>
      <c r="K3" s="209"/>
      <c r="L3" s="209"/>
      <c r="M3" s="5"/>
      <c r="N3" s="5"/>
      <c r="O3" s="5"/>
      <c r="P3" s="6"/>
      <c r="Q3" s="6"/>
      <c r="R3" s="6"/>
      <c r="S3" s="6"/>
      <c r="T3" s="6"/>
      <c r="U3" s="6"/>
      <c r="V3" s="6"/>
      <c r="W3" s="6"/>
      <c r="X3" s="6"/>
      <c r="Y3" s="6"/>
      <c r="Z3" s="7"/>
      <c r="AA3" s="8"/>
    </row>
    <row r="4" spans="1:27">
      <c r="O4" s="50" t="s">
        <v>54</v>
      </c>
    </row>
    <row r="5" spans="1:27" s="127" customFormat="1" ht="10.8">
      <c r="E5" s="128">
        <v>2018</v>
      </c>
      <c r="F5" s="128">
        <v>2022</v>
      </c>
      <c r="G5" s="128">
        <f t="shared" ref="G5:U5" si="0">F5+1</f>
        <v>2023</v>
      </c>
      <c r="H5" s="128">
        <f t="shared" si="0"/>
        <v>2024</v>
      </c>
      <c r="I5" s="128">
        <f t="shared" si="0"/>
        <v>2025</v>
      </c>
      <c r="J5" s="128">
        <f t="shared" si="0"/>
        <v>2026</v>
      </c>
      <c r="K5" s="128">
        <f t="shared" si="0"/>
        <v>2027</v>
      </c>
      <c r="L5" s="128">
        <f t="shared" si="0"/>
        <v>2028</v>
      </c>
      <c r="M5" s="128">
        <f t="shared" si="0"/>
        <v>2029</v>
      </c>
      <c r="N5" s="128">
        <f t="shared" si="0"/>
        <v>2030</v>
      </c>
      <c r="O5" s="128">
        <f t="shared" si="0"/>
        <v>2031</v>
      </c>
      <c r="P5" s="128">
        <f t="shared" si="0"/>
        <v>2032</v>
      </c>
      <c r="Q5" s="128">
        <f t="shared" si="0"/>
        <v>2033</v>
      </c>
      <c r="R5" s="128">
        <f t="shared" si="0"/>
        <v>2034</v>
      </c>
      <c r="S5" s="128">
        <f t="shared" si="0"/>
        <v>2035</v>
      </c>
      <c r="T5" s="128">
        <f t="shared" si="0"/>
        <v>2036</v>
      </c>
      <c r="U5" s="128">
        <f t="shared" si="0"/>
        <v>2037</v>
      </c>
      <c r="V5" s="128"/>
      <c r="W5" s="128"/>
      <c r="X5" s="128"/>
    </row>
    <row r="6" spans="1:27" s="127" customFormat="1" ht="10.8"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27" s="127" customFormat="1" ht="11.4" thickBot="1">
      <c r="A7" s="431" t="s">
        <v>94</v>
      </c>
      <c r="B7" s="431"/>
      <c r="C7" s="431"/>
      <c r="D7" s="431"/>
      <c r="E7" s="210">
        <f>SUM(E8:E10)</f>
        <v>0</v>
      </c>
      <c r="F7" s="210" t="e">
        <f t="shared" ref="F7:U7" si="1">SUM(F8:F10)</f>
        <v>#REF!</v>
      </c>
      <c r="G7" s="210" t="e">
        <f t="shared" si="1"/>
        <v>#REF!</v>
      </c>
      <c r="H7" s="210">
        <f t="shared" si="1"/>
        <v>10503.163346214955</v>
      </c>
      <c r="I7" s="210" t="e">
        <f t="shared" si="1"/>
        <v>#REF!</v>
      </c>
      <c r="J7" s="210" t="e">
        <f t="shared" si="1"/>
        <v>#REF!</v>
      </c>
      <c r="K7" s="210">
        <f t="shared" si="1"/>
        <v>9769.6110033470577</v>
      </c>
      <c r="L7" s="210">
        <f t="shared" si="1"/>
        <v>9006.8037723475463</v>
      </c>
      <c r="M7" s="210">
        <f t="shared" si="1"/>
        <v>8315.0261691693249</v>
      </c>
      <c r="N7" s="210">
        <f t="shared" si="1"/>
        <v>7401.767728946701</v>
      </c>
      <c r="O7" s="210">
        <f t="shared" si="1"/>
        <v>5472.1088247533526</v>
      </c>
      <c r="P7" s="210">
        <f t="shared" si="1"/>
        <v>3836.5561573642244</v>
      </c>
      <c r="Q7" s="210">
        <f t="shared" si="1"/>
        <v>2603.1188709743915</v>
      </c>
      <c r="R7" s="210">
        <f t="shared" si="1"/>
        <v>1944.6848564814838</v>
      </c>
      <c r="S7" s="129">
        <f t="shared" si="1"/>
        <v>3836.5561573642244</v>
      </c>
      <c r="T7" s="129">
        <f t="shared" si="1"/>
        <v>2603.1188709743915</v>
      </c>
      <c r="U7" s="129">
        <f t="shared" si="1"/>
        <v>0</v>
      </c>
      <c r="V7" s="129"/>
      <c r="W7" s="129"/>
      <c r="X7" s="129"/>
    </row>
    <row r="8" spans="1:27" s="127" customFormat="1" ht="10.8">
      <c r="A8" s="432" t="s">
        <v>41</v>
      </c>
      <c r="B8" s="432"/>
      <c r="C8" s="432"/>
      <c r="D8" s="432"/>
      <c r="E8" s="211">
        <f>centralizator!D55</f>
        <v>0</v>
      </c>
      <c r="F8" s="211" t="e">
        <f>F38</f>
        <v>#REF!</v>
      </c>
      <c r="G8" s="211" t="e">
        <f t="shared" ref="G8:R8" si="2">G38</f>
        <v>#REF!</v>
      </c>
      <c r="H8" s="211">
        <f t="shared" si="2"/>
        <v>7349.6880800476902</v>
      </c>
      <c r="I8" s="211">
        <f t="shared" si="2"/>
        <v>6405.2850600476904</v>
      </c>
      <c r="J8" s="211">
        <f t="shared" si="2"/>
        <v>6594.2193733810236</v>
      </c>
      <c r="K8" s="211">
        <f t="shared" si="2"/>
        <v>6937.6616230236905</v>
      </c>
      <c r="L8" s="211">
        <f t="shared" si="2"/>
        <v>6714.2291440476911</v>
      </c>
      <c r="M8" s="211">
        <f t="shared" si="2"/>
        <v>6532.2952824237582</v>
      </c>
      <c r="N8" s="211">
        <f t="shared" si="2"/>
        <v>6101.1082477683667</v>
      </c>
      <c r="O8" s="211">
        <f t="shared" si="2"/>
        <v>4595.3600779267363</v>
      </c>
      <c r="P8" s="211">
        <f t="shared" si="2"/>
        <v>3233.9387200000001</v>
      </c>
      <c r="Q8" s="211">
        <f t="shared" si="2"/>
        <v>2219.5933600000003</v>
      </c>
      <c r="R8" s="211">
        <f t="shared" si="2"/>
        <v>1700.0000000000002</v>
      </c>
      <c r="S8" s="130">
        <f>centralizator!P55</f>
        <v>3233.9387200000001</v>
      </c>
      <c r="T8" s="130">
        <f>centralizator!Q55</f>
        <v>2219.5933600000003</v>
      </c>
      <c r="U8" s="130">
        <f>centralizator!R6</f>
        <v>0</v>
      </c>
      <c r="V8" s="130"/>
      <c r="W8" s="130"/>
      <c r="X8" s="130"/>
      <c r="Y8" s="130"/>
      <c r="Z8" s="130"/>
    </row>
    <row r="9" spans="1:27" s="127" customFormat="1" ht="10.8">
      <c r="A9" s="432" t="s">
        <v>32</v>
      </c>
      <c r="B9" s="432"/>
      <c r="C9" s="432"/>
      <c r="D9" s="432"/>
      <c r="E9" s="211">
        <f>centralizator!D56</f>
        <v>0</v>
      </c>
      <c r="F9" s="211" t="e">
        <f>F39</f>
        <v>#REF!</v>
      </c>
      <c r="G9" s="211" t="e">
        <f t="shared" ref="G9:R9" si="3">G39</f>
        <v>#REF!</v>
      </c>
      <c r="H9" s="211">
        <f t="shared" si="3"/>
        <v>3052.4752661672655</v>
      </c>
      <c r="I9" s="211">
        <f t="shared" si="3"/>
        <v>3179.703116604745</v>
      </c>
      <c r="J9" s="211">
        <f t="shared" si="3"/>
        <v>3323.6769976254946</v>
      </c>
      <c r="K9" s="211">
        <f t="shared" si="3"/>
        <v>2797.9493803233668</v>
      </c>
      <c r="L9" s="211">
        <f t="shared" si="3"/>
        <v>2292.5746282998552</v>
      </c>
      <c r="M9" s="211">
        <f t="shared" si="3"/>
        <v>1782.7308867455665</v>
      </c>
      <c r="N9" s="211">
        <f t="shared" si="3"/>
        <v>1300.6594811783345</v>
      </c>
      <c r="O9" s="211">
        <f t="shared" si="3"/>
        <v>876.74874682661596</v>
      </c>
      <c r="P9" s="211">
        <f t="shared" si="3"/>
        <v>602.61743736422443</v>
      </c>
      <c r="Q9" s="211">
        <f t="shared" si="3"/>
        <v>383.52551097439101</v>
      </c>
      <c r="R9" s="211">
        <f t="shared" si="3"/>
        <v>244.68485648148359</v>
      </c>
      <c r="S9" s="130">
        <f>centralizator!P56</f>
        <v>602.61743736422443</v>
      </c>
      <c r="T9" s="130">
        <f>centralizator!Q56</f>
        <v>383.52551097439101</v>
      </c>
      <c r="U9" s="130">
        <f>centralizator!R7</f>
        <v>0</v>
      </c>
      <c r="V9" s="130"/>
      <c r="W9" s="130"/>
      <c r="X9" s="130"/>
      <c r="Y9" s="130"/>
      <c r="Z9" s="130"/>
    </row>
    <row r="10" spans="1:27" s="127" customFormat="1" ht="10.8">
      <c r="A10" s="432" t="s">
        <v>42</v>
      </c>
      <c r="B10" s="432"/>
      <c r="C10" s="432"/>
      <c r="D10" s="432"/>
      <c r="E10" s="220">
        <f>centralizator!D57</f>
        <v>0</v>
      </c>
      <c r="F10" s="220">
        <f>centralizator!E57</f>
        <v>0</v>
      </c>
      <c r="G10" s="220">
        <f>centralizator!F57</f>
        <v>0</v>
      </c>
      <c r="H10" s="220">
        <f>centralizator!G57</f>
        <v>101</v>
      </c>
      <c r="I10" s="220" t="e">
        <f>centralizator!#REF!</f>
        <v>#REF!</v>
      </c>
      <c r="J10" s="220" t="e">
        <f>centralizator!#REF!</f>
        <v>#REF!</v>
      </c>
      <c r="K10" s="220">
        <f>centralizator!H57</f>
        <v>34</v>
      </c>
      <c r="L10" s="220">
        <f>centralizator!I57</f>
        <v>0</v>
      </c>
      <c r="M10" s="220">
        <f>centralizator!J57</f>
        <v>0</v>
      </c>
      <c r="N10" s="220">
        <f>centralizator!K57</f>
        <v>0</v>
      </c>
      <c r="O10" s="220">
        <f>centralizator!L57</f>
        <v>0</v>
      </c>
      <c r="P10" s="220">
        <f>centralizator!M57</f>
        <v>0</v>
      </c>
      <c r="Q10" s="220">
        <f>centralizator!N57</f>
        <v>0</v>
      </c>
      <c r="R10" s="220">
        <f>centralizator!O57</f>
        <v>0</v>
      </c>
      <c r="S10" s="130">
        <f>centralizator!P57</f>
        <v>0</v>
      </c>
      <c r="T10" s="130">
        <f>centralizator!Q57</f>
        <v>0</v>
      </c>
      <c r="U10" s="130">
        <f>centralizator!R8</f>
        <v>0</v>
      </c>
      <c r="V10" s="130"/>
      <c r="W10" s="130"/>
      <c r="X10" s="130"/>
      <c r="Y10" s="130"/>
      <c r="Z10" s="130"/>
    </row>
    <row r="11" spans="1:27" s="127" customFormat="1" ht="10.8">
      <c r="A11" s="131"/>
      <c r="B11" s="131"/>
      <c r="C11" s="131"/>
      <c r="D11" s="131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</row>
    <row r="12" spans="1:27" s="127" customFormat="1" ht="12" customHeight="1" thickBot="1">
      <c r="A12" s="433" t="s">
        <v>81</v>
      </c>
      <c r="B12" s="433"/>
      <c r="C12" s="433"/>
      <c r="D12" s="165"/>
      <c r="E12" s="129">
        <f>SUM(E13:E15)</f>
        <v>0</v>
      </c>
      <c r="F12" s="129">
        <f t="shared" ref="F12:U12" si="4">SUM(F13:F15)</f>
        <v>0</v>
      </c>
      <c r="G12" s="129">
        <f t="shared" si="4"/>
        <v>0</v>
      </c>
      <c r="H12" s="129">
        <f t="shared" si="4"/>
        <v>0</v>
      </c>
      <c r="I12" s="129" t="e">
        <f t="shared" si="4"/>
        <v>#REF!</v>
      </c>
      <c r="J12" s="129" t="e">
        <f t="shared" si="4"/>
        <v>#REF!</v>
      </c>
      <c r="K12" s="129">
        <f t="shared" si="4"/>
        <v>0</v>
      </c>
      <c r="L12" s="129">
        <f t="shared" si="4"/>
        <v>0</v>
      </c>
      <c r="M12" s="129">
        <f t="shared" si="4"/>
        <v>0</v>
      </c>
      <c r="N12" s="129">
        <f t="shared" si="4"/>
        <v>0</v>
      </c>
      <c r="O12" s="129">
        <f t="shared" si="4"/>
        <v>0</v>
      </c>
      <c r="P12" s="129">
        <f t="shared" si="4"/>
        <v>0</v>
      </c>
      <c r="Q12" s="129">
        <f t="shared" si="4"/>
        <v>0</v>
      </c>
      <c r="R12" s="129">
        <f t="shared" si="4"/>
        <v>0</v>
      </c>
      <c r="S12" s="129">
        <f t="shared" si="4"/>
        <v>0</v>
      </c>
      <c r="T12" s="129">
        <f t="shared" si="4"/>
        <v>2603.1188709743915</v>
      </c>
      <c r="U12" s="129">
        <f t="shared" si="4"/>
        <v>1944.6848564814838</v>
      </c>
      <c r="V12" s="129"/>
      <c r="W12" s="129"/>
      <c r="X12" s="129"/>
    </row>
    <row r="13" spans="1:27" s="127" customFormat="1" ht="10.8">
      <c r="A13" s="164" t="s">
        <v>41</v>
      </c>
      <c r="B13" s="164"/>
      <c r="C13" s="164"/>
      <c r="D13" s="164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>
        <f>centralizator!Q60</f>
        <v>2603.1188709743915</v>
      </c>
      <c r="U13" s="130">
        <f>centralizator!R60</f>
        <v>1944.6848564814838</v>
      </c>
      <c r="V13" s="130"/>
      <c r="W13" s="130"/>
      <c r="X13" s="130"/>
      <c r="Y13" s="130"/>
      <c r="Z13" s="130"/>
    </row>
    <row r="14" spans="1:27" s="127" customFormat="1" ht="10.8">
      <c r="A14" s="164" t="s">
        <v>32</v>
      </c>
      <c r="B14" s="164"/>
      <c r="C14" s="164"/>
      <c r="D14" s="164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>
        <f>centralizator!Q61</f>
        <v>0</v>
      </c>
      <c r="U14" s="130">
        <f>centralizator!R61</f>
        <v>0</v>
      </c>
      <c r="V14" s="130"/>
      <c r="W14" s="130"/>
      <c r="X14" s="130"/>
      <c r="Y14" s="130"/>
      <c r="Z14" s="130"/>
    </row>
    <row r="15" spans="1:27" s="127" customFormat="1" ht="10.8">
      <c r="A15" s="164" t="s">
        <v>42</v>
      </c>
      <c r="B15" s="164"/>
      <c r="C15" s="164"/>
      <c r="D15" s="164"/>
      <c r="E15" s="130">
        <f>centralizator!D8</f>
        <v>0</v>
      </c>
      <c r="F15" s="130">
        <f>centralizator!E8</f>
        <v>0</v>
      </c>
      <c r="G15" s="130">
        <f>centralizator!F8</f>
        <v>0</v>
      </c>
      <c r="H15" s="130">
        <f>centralizator!G8</f>
        <v>0</v>
      </c>
      <c r="I15" s="130" t="e">
        <f>centralizator!#REF!</f>
        <v>#REF!</v>
      </c>
      <c r="J15" s="130" t="e">
        <f>centralizator!#REF!</f>
        <v>#REF!</v>
      </c>
      <c r="K15" s="130">
        <f>centralizator!H8</f>
        <v>0</v>
      </c>
      <c r="L15" s="130">
        <f>centralizator!I8</f>
        <v>0</v>
      </c>
      <c r="M15" s="130">
        <f>centralizator!J8</f>
        <v>0</v>
      </c>
      <c r="N15" s="130">
        <f>centralizator!K8</f>
        <v>0</v>
      </c>
      <c r="O15" s="130">
        <f>centralizator!L62</f>
        <v>0</v>
      </c>
      <c r="P15" s="130">
        <f>centralizator!M62</f>
        <v>0</v>
      </c>
      <c r="Q15" s="130">
        <f>centralizator!N62</f>
        <v>0</v>
      </c>
      <c r="R15" s="130">
        <f>centralizator!O62</f>
        <v>0</v>
      </c>
      <c r="S15" s="130">
        <f>centralizator!P62</f>
        <v>0</v>
      </c>
      <c r="T15" s="130">
        <f>centralizator!Q62</f>
        <v>0</v>
      </c>
      <c r="U15" s="130">
        <f>centralizator!R62</f>
        <v>0</v>
      </c>
      <c r="V15" s="130"/>
      <c r="W15" s="130"/>
      <c r="X15" s="130"/>
      <c r="Y15" s="130"/>
      <c r="Z15" s="130"/>
    </row>
    <row r="16" spans="1:27" s="127" customFormat="1" ht="10.8">
      <c r="A16" s="164"/>
      <c r="B16" s="164"/>
      <c r="C16" s="164"/>
      <c r="D16" s="164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</row>
    <row r="17" spans="1:26" s="127" customFormat="1" ht="11.4" thickBot="1">
      <c r="A17" s="431" t="s">
        <v>82</v>
      </c>
      <c r="B17" s="431"/>
      <c r="C17" s="431"/>
      <c r="D17" s="431"/>
      <c r="E17" s="129">
        <f>SUM(E18:E20)</f>
        <v>0</v>
      </c>
      <c r="F17" s="129">
        <f t="shared" ref="F17:U17" si="5">SUM(F18:F20)</f>
        <v>0</v>
      </c>
      <c r="G17" s="129">
        <f t="shared" si="5"/>
        <v>0</v>
      </c>
      <c r="H17" s="129">
        <f t="shared" si="5"/>
        <v>624.15517121604273</v>
      </c>
      <c r="I17" s="129" t="e">
        <f t="shared" si="5"/>
        <v>#REF!</v>
      </c>
      <c r="J17" s="129" t="e">
        <f t="shared" si="5"/>
        <v>#REF!</v>
      </c>
      <c r="K17" s="129">
        <f t="shared" si="5"/>
        <v>537.48390046883844</v>
      </c>
      <c r="L17" s="129">
        <f t="shared" si="5"/>
        <v>508.22289243204273</v>
      </c>
      <c r="M17" s="129">
        <f t="shared" si="5"/>
        <v>479.2398227360427</v>
      </c>
      <c r="N17" s="129">
        <f t="shared" si="5"/>
        <v>228.0008942394029</v>
      </c>
      <c r="O17" s="129">
        <f t="shared" si="5"/>
        <v>0</v>
      </c>
      <c r="P17" s="129">
        <f t="shared" si="5"/>
        <v>0</v>
      </c>
      <c r="Q17" s="129">
        <f t="shared" si="5"/>
        <v>0</v>
      </c>
      <c r="R17" s="129">
        <f t="shared" si="5"/>
        <v>0</v>
      </c>
      <c r="S17" s="129">
        <f t="shared" si="5"/>
        <v>0</v>
      </c>
      <c r="T17" s="129">
        <f t="shared" si="5"/>
        <v>2603.1188709743915</v>
      </c>
      <c r="U17" s="129">
        <f t="shared" si="5"/>
        <v>1944.6848564814838</v>
      </c>
      <c r="V17" s="129"/>
      <c r="W17" s="129"/>
      <c r="X17" s="129"/>
    </row>
    <row r="18" spans="1:26" s="127" customFormat="1" ht="10.8">
      <c r="A18" s="432" t="s">
        <v>41</v>
      </c>
      <c r="B18" s="432"/>
      <c r="C18" s="432"/>
      <c r="D18" s="432"/>
      <c r="E18" s="130">
        <f>centralizator!D16</f>
        <v>0</v>
      </c>
      <c r="F18" s="130">
        <f>centralizator!E16</f>
        <v>0</v>
      </c>
      <c r="G18" s="130">
        <f>centralizator!F16</f>
        <v>0</v>
      </c>
      <c r="H18" s="130">
        <f>centralizator!G16</f>
        <v>446.65689600000002</v>
      </c>
      <c r="I18" s="130" t="e">
        <f>centralizator!#REF!</f>
        <v>#REF!</v>
      </c>
      <c r="J18" s="130" t="e">
        <f>centralizator!#REF!</f>
        <v>#REF!</v>
      </c>
      <c r="K18" s="130">
        <f>centralizator!H16</f>
        <v>446.65689600000002</v>
      </c>
      <c r="L18" s="130">
        <f>centralizator!I16</f>
        <v>446.65689600000002</v>
      </c>
      <c r="M18" s="130">
        <f>centralizator!J16</f>
        <v>446.65689600000002</v>
      </c>
      <c r="N18" s="130">
        <f>centralizator!K16</f>
        <v>223.43247897600023</v>
      </c>
      <c r="O18" s="130">
        <f>centralizator!L16</f>
        <v>0</v>
      </c>
      <c r="P18" s="130">
        <f>centralizator!M16</f>
        <v>0</v>
      </c>
      <c r="Q18" s="130">
        <f>centralizator!N16</f>
        <v>0</v>
      </c>
      <c r="R18" s="130">
        <f>centralizator!O16</f>
        <v>0</v>
      </c>
      <c r="S18" s="130">
        <f>centralizator!P16</f>
        <v>0</v>
      </c>
      <c r="T18" s="130">
        <f>centralizator!Q60</f>
        <v>2603.1188709743915</v>
      </c>
      <c r="U18" s="130">
        <f>centralizator!R60</f>
        <v>1944.6848564814838</v>
      </c>
      <c r="V18" s="130"/>
      <c r="W18" s="130"/>
      <c r="X18" s="130"/>
      <c r="Y18" s="130"/>
      <c r="Z18" s="130"/>
    </row>
    <row r="19" spans="1:26" s="127" customFormat="1" ht="10.8">
      <c r="A19" s="432" t="s">
        <v>32</v>
      </c>
      <c r="B19" s="432"/>
      <c r="C19" s="432"/>
      <c r="D19" s="432"/>
      <c r="E19" s="130">
        <f>centralizator!D17</f>
        <v>0</v>
      </c>
      <c r="F19" s="130">
        <f>centralizator!E17</f>
        <v>0</v>
      </c>
      <c r="G19" s="130">
        <f>centralizator!F17</f>
        <v>0</v>
      </c>
      <c r="H19" s="130">
        <f>centralizator!G17</f>
        <v>177.49827521604271</v>
      </c>
      <c r="I19" s="130" t="e">
        <f>centralizator!#REF!</f>
        <v>#REF!</v>
      </c>
      <c r="J19" s="130" t="e">
        <f>centralizator!#REF!</f>
        <v>#REF!</v>
      </c>
      <c r="K19" s="130">
        <f>centralizator!H17</f>
        <v>90.827004468838425</v>
      </c>
      <c r="L19" s="130">
        <f>centralizator!I17</f>
        <v>61.565996432042695</v>
      </c>
      <c r="M19" s="130">
        <f>centralizator!J17</f>
        <v>32.58292673604268</v>
      </c>
      <c r="N19" s="130">
        <f>centralizator!K17</f>
        <v>4.568415263402672</v>
      </c>
      <c r="O19" s="130">
        <f>centralizator!L17</f>
        <v>0</v>
      </c>
      <c r="P19" s="130">
        <f>centralizator!M17</f>
        <v>0</v>
      </c>
      <c r="Q19" s="130">
        <f>centralizator!N17</f>
        <v>0</v>
      </c>
      <c r="R19" s="130">
        <f>centralizator!O17</f>
        <v>0</v>
      </c>
      <c r="S19" s="130">
        <f>centralizator!P17</f>
        <v>0</v>
      </c>
      <c r="T19" s="130">
        <f>centralizator!Q61</f>
        <v>0</v>
      </c>
      <c r="U19" s="130">
        <f>centralizator!R61</f>
        <v>0</v>
      </c>
      <c r="V19" s="130"/>
      <c r="W19" s="130"/>
      <c r="X19" s="130"/>
      <c r="Y19" s="130"/>
      <c r="Z19" s="130"/>
    </row>
    <row r="20" spans="1:26" s="127" customFormat="1" ht="10.8">
      <c r="A20" s="432" t="s">
        <v>42</v>
      </c>
      <c r="B20" s="432"/>
      <c r="C20" s="432"/>
      <c r="D20" s="432"/>
      <c r="E20" s="130">
        <f>centralizator!D18</f>
        <v>0</v>
      </c>
      <c r="F20" s="130">
        <f>centralizator!E18</f>
        <v>0</v>
      </c>
      <c r="G20" s="130">
        <f>centralizator!F18</f>
        <v>0</v>
      </c>
      <c r="H20" s="130">
        <f>centralizator!G18</f>
        <v>0</v>
      </c>
      <c r="I20" s="130" t="e">
        <f>centralizator!#REF!</f>
        <v>#REF!</v>
      </c>
      <c r="J20" s="130" t="e">
        <f>centralizator!#REF!</f>
        <v>#REF!</v>
      </c>
      <c r="K20" s="130">
        <f>centralizator!H18</f>
        <v>0</v>
      </c>
      <c r="L20" s="130">
        <f>centralizator!I18</f>
        <v>0</v>
      </c>
      <c r="M20" s="130">
        <f>centralizator!J18</f>
        <v>0</v>
      </c>
      <c r="N20" s="130">
        <f>centralizator!K18</f>
        <v>0</v>
      </c>
      <c r="O20" s="130">
        <f>centralizator!L18</f>
        <v>0</v>
      </c>
      <c r="P20" s="130">
        <f>centralizator!M18</f>
        <v>0</v>
      </c>
      <c r="Q20" s="130">
        <f>centralizator!N18</f>
        <v>0</v>
      </c>
      <c r="R20" s="130">
        <f>centralizator!O18</f>
        <v>0</v>
      </c>
      <c r="S20" s="130">
        <f>centralizator!P18</f>
        <v>0</v>
      </c>
      <c r="T20" s="130">
        <f>centralizator!Q62</f>
        <v>0</v>
      </c>
      <c r="U20" s="130">
        <f>centralizator!R62</f>
        <v>0</v>
      </c>
      <c r="V20" s="130"/>
      <c r="W20" s="130"/>
      <c r="X20" s="130"/>
      <c r="Y20" s="130"/>
      <c r="Z20" s="130"/>
    </row>
    <row r="21" spans="1:26" s="127" customFormat="1" ht="10.8">
      <c r="A21" s="131"/>
      <c r="B21" s="131"/>
      <c r="C21" s="131"/>
      <c r="D21" s="131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</row>
    <row r="22" spans="1:26" s="178" customFormat="1" ht="30.75" customHeight="1" thickBot="1">
      <c r="A22" s="436" t="s">
        <v>85</v>
      </c>
      <c r="B22" s="436"/>
      <c r="C22" s="436"/>
      <c r="D22" s="436"/>
      <c r="E22" s="177">
        <f>SUM(E23:E25)</f>
        <v>0</v>
      </c>
      <c r="F22" s="177" t="e">
        <f t="shared" ref="F22:U22" si="6">SUM(F23:F25)</f>
        <v>#REF!</v>
      </c>
      <c r="G22" s="177" t="e">
        <f t="shared" si="6"/>
        <v>#REF!</v>
      </c>
      <c r="H22" s="177">
        <f t="shared" si="6"/>
        <v>10402.163346214955</v>
      </c>
      <c r="I22" s="177" t="e">
        <f t="shared" si="6"/>
        <v>#REF!</v>
      </c>
      <c r="J22" s="177" t="e">
        <f t="shared" si="6"/>
        <v>#REF!</v>
      </c>
      <c r="K22" s="177">
        <f t="shared" si="6"/>
        <v>9735.6110033470577</v>
      </c>
      <c r="L22" s="177">
        <f t="shared" si="6"/>
        <v>9006.8037723475463</v>
      </c>
      <c r="M22" s="177">
        <f t="shared" si="6"/>
        <v>8315.0261691693249</v>
      </c>
      <c r="N22" s="177">
        <f t="shared" si="6"/>
        <v>7401.767728946701</v>
      </c>
      <c r="O22" s="177">
        <f t="shared" si="6"/>
        <v>5472.1088247533526</v>
      </c>
      <c r="P22" s="177">
        <f t="shared" si="6"/>
        <v>3836.5561573642244</v>
      </c>
      <c r="Q22" s="177">
        <f t="shared" si="6"/>
        <v>2603.1188709743915</v>
      </c>
      <c r="R22" s="177">
        <f t="shared" si="6"/>
        <v>1944.6848564814838</v>
      </c>
      <c r="S22" s="177">
        <f t="shared" si="6"/>
        <v>3836.5561573642244</v>
      </c>
      <c r="T22" s="177">
        <f t="shared" si="6"/>
        <v>2603.1188709743915</v>
      </c>
      <c r="U22" s="177">
        <f t="shared" si="6"/>
        <v>1944.6848564814838</v>
      </c>
      <c r="V22" s="177"/>
      <c r="W22" s="177"/>
      <c r="X22" s="177"/>
    </row>
    <row r="23" spans="1:26" s="178" customFormat="1" ht="10.8">
      <c r="A23" s="434" t="s">
        <v>41</v>
      </c>
      <c r="B23" s="434"/>
      <c r="C23" s="434"/>
      <c r="D23" s="434"/>
      <c r="E23" s="179">
        <f>centralizator!D25</f>
        <v>0</v>
      </c>
      <c r="F23" s="179" t="e">
        <f>F38</f>
        <v>#REF!</v>
      </c>
      <c r="G23" s="179" t="e">
        <f t="shared" ref="G23:R23" si="7">G38</f>
        <v>#REF!</v>
      </c>
      <c r="H23" s="179">
        <f t="shared" si="7"/>
        <v>7349.6880800476902</v>
      </c>
      <c r="I23" s="179">
        <f t="shared" si="7"/>
        <v>6405.2850600476904</v>
      </c>
      <c r="J23" s="179">
        <f t="shared" si="7"/>
        <v>6594.2193733810236</v>
      </c>
      <c r="K23" s="179">
        <f t="shared" si="7"/>
        <v>6937.6616230236905</v>
      </c>
      <c r="L23" s="179">
        <f t="shared" si="7"/>
        <v>6714.2291440476911</v>
      </c>
      <c r="M23" s="179">
        <f t="shared" si="7"/>
        <v>6532.2952824237582</v>
      </c>
      <c r="N23" s="179">
        <f t="shared" si="7"/>
        <v>6101.1082477683667</v>
      </c>
      <c r="O23" s="179">
        <f t="shared" si="7"/>
        <v>4595.3600779267363</v>
      </c>
      <c r="P23" s="179">
        <f t="shared" si="7"/>
        <v>3233.9387200000001</v>
      </c>
      <c r="Q23" s="179">
        <f t="shared" si="7"/>
        <v>2219.5933600000003</v>
      </c>
      <c r="R23" s="179">
        <f t="shared" si="7"/>
        <v>1700.0000000000002</v>
      </c>
      <c r="S23" s="179">
        <f>centralizator!P60</f>
        <v>3836.5561573642244</v>
      </c>
      <c r="T23" s="179">
        <f>centralizator!Q60</f>
        <v>2603.1188709743915</v>
      </c>
      <c r="U23" s="179">
        <f>centralizator!R60</f>
        <v>1944.6848564814838</v>
      </c>
      <c r="V23" s="179"/>
      <c r="W23" s="179"/>
      <c r="X23" s="179"/>
      <c r="Y23" s="179"/>
      <c r="Z23" s="179"/>
    </row>
    <row r="24" spans="1:26" s="178" customFormat="1" ht="10.8">
      <c r="A24" s="434" t="s">
        <v>32</v>
      </c>
      <c r="B24" s="434"/>
      <c r="C24" s="434"/>
      <c r="D24" s="434"/>
      <c r="E24" s="179">
        <f>centralizator!D26</f>
        <v>0</v>
      </c>
      <c r="F24" s="179" t="e">
        <f>F39</f>
        <v>#REF!</v>
      </c>
      <c r="G24" s="179" t="e">
        <f t="shared" ref="G24:R24" si="8">G39</f>
        <v>#REF!</v>
      </c>
      <c r="H24" s="179">
        <f t="shared" si="8"/>
        <v>3052.4752661672655</v>
      </c>
      <c r="I24" s="179">
        <f t="shared" si="8"/>
        <v>3179.703116604745</v>
      </c>
      <c r="J24" s="179">
        <f t="shared" si="8"/>
        <v>3323.6769976254946</v>
      </c>
      <c r="K24" s="179">
        <f t="shared" si="8"/>
        <v>2797.9493803233668</v>
      </c>
      <c r="L24" s="179">
        <f t="shared" si="8"/>
        <v>2292.5746282998552</v>
      </c>
      <c r="M24" s="179">
        <f t="shared" si="8"/>
        <v>1782.7308867455665</v>
      </c>
      <c r="N24" s="179">
        <f t="shared" si="8"/>
        <v>1300.6594811783345</v>
      </c>
      <c r="O24" s="179">
        <f t="shared" si="8"/>
        <v>876.74874682661596</v>
      </c>
      <c r="P24" s="179">
        <f t="shared" si="8"/>
        <v>602.61743736422443</v>
      </c>
      <c r="Q24" s="179">
        <f t="shared" si="8"/>
        <v>383.52551097439101</v>
      </c>
      <c r="R24" s="179">
        <f t="shared" si="8"/>
        <v>244.68485648148359</v>
      </c>
      <c r="S24" s="179">
        <f>centralizator!P61</f>
        <v>0</v>
      </c>
      <c r="T24" s="179">
        <f>centralizator!Q61</f>
        <v>0</v>
      </c>
      <c r="U24" s="179">
        <f>centralizator!R61</f>
        <v>0</v>
      </c>
      <c r="V24" s="179"/>
      <c r="W24" s="179"/>
      <c r="X24" s="179"/>
      <c r="Y24" s="179"/>
      <c r="Z24" s="179"/>
    </row>
    <row r="25" spans="1:26" s="178" customFormat="1" ht="10.8">
      <c r="A25" s="434" t="s">
        <v>42</v>
      </c>
      <c r="B25" s="434"/>
      <c r="C25" s="434"/>
      <c r="D25" s="434"/>
      <c r="E25" s="179">
        <f>centralizator!D27</f>
        <v>0</v>
      </c>
      <c r="F25" s="179">
        <f>centralizator!E27</f>
        <v>0</v>
      </c>
      <c r="G25" s="179">
        <f>centralizator!F27</f>
        <v>0</v>
      </c>
      <c r="H25" s="179">
        <f>centralizator!G27</f>
        <v>0</v>
      </c>
      <c r="I25" s="179" t="e">
        <f>centralizator!#REF!</f>
        <v>#REF!</v>
      </c>
      <c r="J25" s="179" t="e">
        <f>centralizator!#REF!</f>
        <v>#REF!</v>
      </c>
      <c r="K25" s="179">
        <f>centralizator!H27</f>
        <v>0</v>
      </c>
      <c r="L25" s="179">
        <f>centralizator!I27</f>
        <v>0</v>
      </c>
      <c r="M25" s="179">
        <f>centralizator!J27</f>
        <v>0</v>
      </c>
      <c r="N25" s="179">
        <f>centralizator!K27</f>
        <v>0</v>
      </c>
      <c r="O25" s="179">
        <f>centralizator!L27</f>
        <v>0</v>
      </c>
      <c r="P25" s="179">
        <f>centralizator!M27</f>
        <v>0</v>
      </c>
      <c r="Q25" s="179">
        <f>centralizator!N27</f>
        <v>0</v>
      </c>
      <c r="R25" s="179">
        <f>centralizator!O27</f>
        <v>0</v>
      </c>
      <c r="S25" s="179">
        <f>centralizator!P62</f>
        <v>0</v>
      </c>
      <c r="T25" s="179">
        <f>centralizator!Q62</f>
        <v>0</v>
      </c>
      <c r="U25" s="179">
        <f>centralizator!R62</f>
        <v>0</v>
      </c>
      <c r="V25" s="179"/>
      <c r="W25" s="179"/>
      <c r="X25" s="179"/>
      <c r="Y25" s="179"/>
      <c r="Z25" s="179"/>
    </row>
    <row r="26" spans="1:26" s="127" customFormat="1" ht="10.8">
      <c r="A26" s="164"/>
      <c r="B26" s="164"/>
      <c r="C26" s="164"/>
      <c r="D26" s="164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</row>
    <row r="27" spans="1:26" s="127" customFormat="1" ht="11.4" thickBot="1">
      <c r="A27" s="431" t="s">
        <v>83</v>
      </c>
      <c r="B27" s="431"/>
      <c r="C27" s="431"/>
      <c r="D27" s="431"/>
      <c r="E27" s="210">
        <f>SUM(E28:E30)</f>
        <v>0</v>
      </c>
      <c r="F27" s="210">
        <f t="shared" ref="F27:U27" si="9">SUM(F28:F30)</f>
        <v>0</v>
      </c>
      <c r="G27" s="210">
        <f t="shared" si="9"/>
        <v>0</v>
      </c>
      <c r="H27" s="210">
        <f t="shared" si="9"/>
        <v>0</v>
      </c>
      <c r="I27" s="210" t="e">
        <f t="shared" si="9"/>
        <v>#REF!</v>
      </c>
      <c r="J27" s="210" t="e">
        <f t="shared" si="9"/>
        <v>#REF!</v>
      </c>
      <c r="K27" s="210">
        <f t="shared" si="9"/>
        <v>198.41204827377686</v>
      </c>
      <c r="L27" s="210">
        <f t="shared" si="9"/>
        <v>190.91093320125472</v>
      </c>
      <c r="M27" s="210">
        <f t="shared" si="9"/>
        <v>183.56084730034945</v>
      </c>
      <c r="N27" s="210">
        <f t="shared" si="9"/>
        <v>176.21076139944421</v>
      </c>
      <c r="O27" s="210">
        <f t="shared" si="9"/>
        <v>168.93115578357052</v>
      </c>
      <c r="P27" s="210">
        <f t="shared" si="9"/>
        <v>161.51058959763367</v>
      </c>
      <c r="Q27" s="210">
        <f t="shared" si="9"/>
        <v>154.1605036967284</v>
      </c>
      <c r="R27" s="210">
        <f t="shared" si="9"/>
        <v>74.316418163503144</v>
      </c>
      <c r="S27" s="210">
        <f t="shared" si="9"/>
        <v>0</v>
      </c>
      <c r="T27" s="210">
        <f t="shared" si="9"/>
        <v>0</v>
      </c>
      <c r="U27" s="210">
        <f t="shared" si="9"/>
        <v>0</v>
      </c>
      <c r="V27" s="129"/>
      <c r="W27" s="129"/>
      <c r="X27" s="129"/>
    </row>
    <row r="28" spans="1:26" s="127" customFormat="1" ht="10.8">
      <c r="A28" s="432" t="s">
        <v>41</v>
      </c>
      <c r="B28" s="432"/>
      <c r="C28" s="432"/>
      <c r="D28" s="432"/>
      <c r="E28" s="211">
        <f>centralizator!D11</f>
        <v>0</v>
      </c>
      <c r="F28" s="211">
        <f>centralizator!E11</f>
        <v>0</v>
      </c>
      <c r="G28" s="211">
        <f>centralizator!F11</f>
        <v>0</v>
      </c>
      <c r="H28" s="211">
        <f>centralizator!G11</f>
        <v>0</v>
      </c>
      <c r="I28" s="211" t="e">
        <f>centralizator!#REF!</f>
        <v>#REF!</v>
      </c>
      <c r="J28" s="211" t="e">
        <f>centralizator!#REF!</f>
        <v>#REF!</v>
      </c>
      <c r="K28" s="211">
        <f>centralizator!H11</f>
        <v>144.98799585347371</v>
      </c>
      <c r="L28" s="211">
        <f>centralizator!I11</f>
        <v>144.98799585347371</v>
      </c>
      <c r="M28" s="211">
        <f>centralizator!J11</f>
        <v>144.98799585347371</v>
      </c>
      <c r="N28" s="211">
        <f>centralizator!K11</f>
        <v>144.98799585347371</v>
      </c>
      <c r="O28" s="211">
        <f>centralizator!L11</f>
        <v>144.98799585347371</v>
      </c>
      <c r="P28" s="211">
        <f>centralizator!M11</f>
        <v>144.98799585347371</v>
      </c>
      <c r="Q28" s="211">
        <f>centralizator!N11</f>
        <v>144.98799585347371</v>
      </c>
      <c r="R28" s="211">
        <f>centralizator!O11</f>
        <v>72.493997926736853</v>
      </c>
      <c r="S28" s="211">
        <f>centralizator!P11</f>
        <v>0</v>
      </c>
      <c r="T28" s="211">
        <f>centralizator!Q11</f>
        <v>0</v>
      </c>
      <c r="U28" s="211">
        <f>centralizator!R11</f>
        <v>0</v>
      </c>
      <c r="V28" s="130"/>
      <c r="W28" s="130"/>
      <c r="X28" s="130"/>
      <c r="Y28" s="130"/>
      <c r="Z28" s="130"/>
    </row>
    <row r="29" spans="1:26" s="127" customFormat="1" ht="10.8">
      <c r="A29" s="432" t="s">
        <v>32</v>
      </c>
      <c r="B29" s="432"/>
      <c r="C29" s="432"/>
      <c r="D29" s="432"/>
      <c r="E29" s="211">
        <f>centralizator!D12</f>
        <v>0</v>
      </c>
      <c r="F29" s="211">
        <f>centralizator!E12</f>
        <v>0</v>
      </c>
      <c r="G29" s="211">
        <f>centralizator!F12</f>
        <v>0</v>
      </c>
      <c r="H29" s="211">
        <f>centralizator!G12</f>
        <v>0</v>
      </c>
      <c r="I29" s="211" t="e">
        <f>centralizator!#REF!</f>
        <v>#REF!</v>
      </c>
      <c r="J29" s="211" t="e">
        <f>centralizator!#REF!</f>
        <v>#REF!</v>
      </c>
      <c r="K29" s="211">
        <f>centralizator!H12</f>
        <v>53.424052420303141</v>
      </c>
      <c r="L29" s="211">
        <f>centralizator!I12</f>
        <v>45.922937347781023</v>
      </c>
      <c r="M29" s="211">
        <f>centralizator!J12</f>
        <v>38.57285144687576</v>
      </c>
      <c r="N29" s="211">
        <f>centralizator!K12</f>
        <v>31.222765545970489</v>
      </c>
      <c r="O29" s="211">
        <f>centralizator!L12</f>
        <v>23.943159930096805</v>
      </c>
      <c r="P29" s="211">
        <f>centralizator!M12</f>
        <v>16.522593744159956</v>
      </c>
      <c r="Q29" s="211">
        <f>centralizator!N12</f>
        <v>9.172507843254694</v>
      </c>
      <c r="R29" s="211">
        <f>centralizator!O12</f>
        <v>1.8224202367662945</v>
      </c>
      <c r="S29" s="211">
        <f>centralizator!P12</f>
        <v>0</v>
      </c>
      <c r="T29" s="211">
        <f>centralizator!Q12</f>
        <v>0</v>
      </c>
      <c r="U29" s="211">
        <f>centralizator!R12</f>
        <v>0</v>
      </c>
      <c r="V29" s="130"/>
      <c r="W29" s="130"/>
      <c r="X29" s="130"/>
      <c r="Y29" s="130"/>
      <c r="Z29" s="130"/>
    </row>
    <row r="30" spans="1:26" s="127" customFormat="1" ht="10.8">
      <c r="A30" s="432" t="s">
        <v>42</v>
      </c>
      <c r="B30" s="432"/>
      <c r="C30" s="432"/>
      <c r="D30" s="432"/>
      <c r="E30" s="211">
        <f>centralizator!D13</f>
        <v>0</v>
      </c>
      <c r="F30" s="211">
        <f>centralizator!E13</f>
        <v>0</v>
      </c>
      <c r="G30" s="211">
        <f>centralizator!F13</f>
        <v>0</v>
      </c>
      <c r="H30" s="211">
        <f>centralizator!G13</f>
        <v>0</v>
      </c>
      <c r="I30" s="211" t="e">
        <f>centralizator!#REF!</f>
        <v>#REF!</v>
      </c>
      <c r="J30" s="211" t="e">
        <f>centralizator!#REF!</f>
        <v>#REF!</v>
      </c>
      <c r="K30" s="211">
        <f>centralizator!H13</f>
        <v>0</v>
      </c>
      <c r="L30" s="211">
        <f>centralizator!I13</f>
        <v>0</v>
      </c>
      <c r="M30" s="211">
        <f>centralizator!J13</f>
        <v>0</v>
      </c>
      <c r="N30" s="211">
        <f>centralizator!K13</f>
        <v>0</v>
      </c>
      <c r="O30" s="211">
        <f>centralizator!L13</f>
        <v>0</v>
      </c>
      <c r="P30" s="211">
        <f>centralizator!M13</f>
        <v>0</v>
      </c>
      <c r="Q30" s="211">
        <f>centralizator!N13</f>
        <v>0</v>
      </c>
      <c r="R30" s="211">
        <f>centralizator!O13</f>
        <v>0</v>
      </c>
      <c r="S30" s="211">
        <f>centralizator!P13</f>
        <v>0</v>
      </c>
      <c r="T30" s="211">
        <f>centralizator!Q13</f>
        <v>0</v>
      </c>
      <c r="U30" s="211">
        <f>centralizator!R13</f>
        <v>0</v>
      </c>
      <c r="V30" s="130"/>
      <c r="W30" s="130"/>
      <c r="X30" s="130"/>
      <c r="Y30" s="130"/>
      <c r="Z30" s="130"/>
    </row>
    <row r="31" spans="1:26" s="127" customFormat="1" ht="10.8">
      <c r="A31" s="438"/>
      <c r="B31" s="438"/>
      <c r="C31" s="438"/>
      <c r="D31" s="438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3"/>
      <c r="Q31" s="213"/>
      <c r="R31" s="213"/>
      <c r="S31" s="213"/>
      <c r="T31" s="213"/>
      <c r="U31" s="213"/>
    </row>
    <row r="32" spans="1:26" s="127" customFormat="1" ht="11.4" thickBot="1">
      <c r="A32" s="439" t="s">
        <v>43</v>
      </c>
      <c r="B32" s="439"/>
      <c r="C32" s="439"/>
      <c r="D32" s="439"/>
      <c r="E32" s="214">
        <f>SUM(E33:E35)</f>
        <v>0</v>
      </c>
      <c r="F32" s="214" t="e">
        <f t="shared" ref="F32:U32" si="10">SUM(F33:F35)</f>
        <v>#REF!</v>
      </c>
      <c r="G32" s="214" t="e">
        <f t="shared" si="10"/>
        <v>#REF!</v>
      </c>
      <c r="H32" s="214">
        <f t="shared" si="10"/>
        <v>10503.163346214955</v>
      </c>
      <c r="I32" s="214" t="e">
        <f t="shared" si="10"/>
        <v>#REF!</v>
      </c>
      <c r="J32" s="214" t="e">
        <f t="shared" si="10"/>
        <v>#REF!</v>
      </c>
      <c r="K32" s="214">
        <f t="shared" si="10"/>
        <v>9769.6110033470577</v>
      </c>
      <c r="L32" s="214">
        <f t="shared" si="10"/>
        <v>9006.8037723475463</v>
      </c>
      <c r="M32" s="214">
        <f t="shared" si="10"/>
        <v>8315.0261691693249</v>
      </c>
      <c r="N32" s="214">
        <f t="shared" si="10"/>
        <v>7401.767728946701</v>
      </c>
      <c r="O32" s="214">
        <f t="shared" si="10"/>
        <v>5472.1088247533526</v>
      </c>
      <c r="P32" s="214">
        <f t="shared" si="10"/>
        <v>3836.5561573642244</v>
      </c>
      <c r="Q32" s="214">
        <f t="shared" si="10"/>
        <v>2603.1188709743915</v>
      </c>
      <c r="R32" s="214">
        <f t="shared" si="10"/>
        <v>1944.6848564814838</v>
      </c>
      <c r="S32" s="214">
        <f t="shared" si="10"/>
        <v>3836.5561573642244</v>
      </c>
      <c r="T32" s="214">
        <f t="shared" si="10"/>
        <v>2603.1188709743915</v>
      </c>
      <c r="U32" s="214">
        <f t="shared" si="10"/>
        <v>0</v>
      </c>
      <c r="V32" s="133"/>
      <c r="W32" s="133"/>
      <c r="X32" s="133"/>
    </row>
    <row r="33" spans="1:24" s="127" customFormat="1" ht="10.8">
      <c r="A33" s="432" t="s">
        <v>41</v>
      </c>
      <c r="B33" s="432"/>
      <c r="C33" s="432"/>
      <c r="D33" s="432"/>
      <c r="E33" s="211">
        <f>E8</f>
        <v>0</v>
      </c>
      <c r="F33" s="211" t="e">
        <f t="shared" ref="F33:U33" si="11">F8</f>
        <v>#REF!</v>
      </c>
      <c r="G33" s="211" t="e">
        <f t="shared" si="11"/>
        <v>#REF!</v>
      </c>
      <c r="H33" s="211">
        <f t="shared" si="11"/>
        <v>7349.6880800476902</v>
      </c>
      <c r="I33" s="211">
        <f t="shared" si="11"/>
        <v>6405.2850600476904</v>
      </c>
      <c r="J33" s="211">
        <f t="shared" si="11"/>
        <v>6594.2193733810236</v>
      </c>
      <c r="K33" s="211">
        <f t="shared" si="11"/>
        <v>6937.6616230236905</v>
      </c>
      <c r="L33" s="211">
        <f t="shared" si="11"/>
        <v>6714.2291440476911</v>
      </c>
      <c r="M33" s="211">
        <f t="shared" si="11"/>
        <v>6532.2952824237582</v>
      </c>
      <c r="N33" s="211">
        <f t="shared" si="11"/>
        <v>6101.1082477683667</v>
      </c>
      <c r="O33" s="211">
        <f t="shared" si="11"/>
        <v>4595.3600779267363</v>
      </c>
      <c r="P33" s="211">
        <f t="shared" si="11"/>
        <v>3233.9387200000001</v>
      </c>
      <c r="Q33" s="211">
        <f t="shared" si="11"/>
        <v>2219.5933600000003</v>
      </c>
      <c r="R33" s="211">
        <f t="shared" si="11"/>
        <v>1700.0000000000002</v>
      </c>
      <c r="S33" s="211">
        <f t="shared" si="11"/>
        <v>3233.9387200000001</v>
      </c>
      <c r="T33" s="211">
        <f t="shared" si="11"/>
        <v>2219.5933600000003</v>
      </c>
      <c r="U33" s="211">
        <f t="shared" si="11"/>
        <v>0</v>
      </c>
      <c r="V33" s="130"/>
      <c r="W33" s="130"/>
      <c r="X33" s="130"/>
    </row>
    <row r="34" spans="1:24" s="127" customFormat="1" ht="10.8">
      <c r="A34" s="432" t="s">
        <v>32</v>
      </c>
      <c r="B34" s="432"/>
      <c r="C34" s="432"/>
      <c r="D34" s="432"/>
      <c r="E34" s="211">
        <f t="shared" ref="E34:U34" si="12">E9</f>
        <v>0</v>
      </c>
      <c r="F34" s="211" t="e">
        <f t="shared" si="12"/>
        <v>#REF!</v>
      </c>
      <c r="G34" s="211" t="e">
        <f t="shared" si="12"/>
        <v>#REF!</v>
      </c>
      <c r="H34" s="211">
        <f t="shared" si="12"/>
        <v>3052.4752661672655</v>
      </c>
      <c r="I34" s="211">
        <f t="shared" si="12"/>
        <v>3179.703116604745</v>
      </c>
      <c r="J34" s="211">
        <f t="shared" si="12"/>
        <v>3323.6769976254946</v>
      </c>
      <c r="K34" s="211">
        <f t="shared" si="12"/>
        <v>2797.9493803233668</v>
      </c>
      <c r="L34" s="211">
        <f t="shared" si="12"/>
        <v>2292.5746282998552</v>
      </c>
      <c r="M34" s="211">
        <f t="shared" si="12"/>
        <v>1782.7308867455665</v>
      </c>
      <c r="N34" s="211">
        <f t="shared" si="12"/>
        <v>1300.6594811783345</v>
      </c>
      <c r="O34" s="211">
        <f t="shared" si="12"/>
        <v>876.74874682661596</v>
      </c>
      <c r="P34" s="211">
        <f t="shared" si="12"/>
        <v>602.61743736422443</v>
      </c>
      <c r="Q34" s="211">
        <f t="shared" si="12"/>
        <v>383.52551097439101</v>
      </c>
      <c r="R34" s="211">
        <f t="shared" si="12"/>
        <v>244.68485648148359</v>
      </c>
      <c r="S34" s="211">
        <f t="shared" si="12"/>
        <v>602.61743736422443</v>
      </c>
      <c r="T34" s="211">
        <f t="shared" si="12"/>
        <v>383.52551097439101</v>
      </c>
      <c r="U34" s="211">
        <f t="shared" si="12"/>
        <v>0</v>
      </c>
      <c r="V34" s="130"/>
      <c r="W34" s="130"/>
      <c r="X34" s="130"/>
    </row>
    <row r="35" spans="1:24" s="127" customFormat="1" ht="10.8">
      <c r="A35" s="432" t="s">
        <v>42</v>
      </c>
      <c r="B35" s="432"/>
      <c r="C35" s="432"/>
      <c r="D35" s="432"/>
      <c r="E35" s="211">
        <f t="shared" ref="E35:U35" si="13">E10</f>
        <v>0</v>
      </c>
      <c r="F35" s="211">
        <f t="shared" si="13"/>
        <v>0</v>
      </c>
      <c r="G35" s="211">
        <f t="shared" si="13"/>
        <v>0</v>
      </c>
      <c r="H35" s="211">
        <f t="shared" si="13"/>
        <v>101</v>
      </c>
      <c r="I35" s="211" t="e">
        <f t="shared" si="13"/>
        <v>#REF!</v>
      </c>
      <c r="J35" s="211" t="e">
        <f t="shared" si="13"/>
        <v>#REF!</v>
      </c>
      <c r="K35" s="211">
        <f t="shared" si="13"/>
        <v>34</v>
      </c>
      <c r="L35" s="211">
        <f t="shared" si="13"/>
        <v>0</v>
      </c>
      <c r="M35" s="211">
        <f t="shared" si="13"/>
        <v>0</v>
      </c>
      <c r="N35" s="211">
        <f t="shared" si="13"/>
        <v>0</v>
      </c>
      <c r="O35" s="211">
        <f t="shared" si="13"/>
        <v>0</v>
      </c>
      <c r="P35" s="211">
        <f t="shared" si="13"/>
        <v>0</v>
      </c>
      <c r="Q35" s="211">
        <f t="shared" si="13"/>
        <v>0</v>
      </c>
      <c r="R35" s="211">
        <f t="shared" si="13"/>
        <v>0</v>
      </c>
      <c r="S35" s="211">
        <f t="shared" si="13"/>
        <v>0</v>
      </c>
      <c r="T35" s="211">
        <f t="shared" si="13"/>
        <v>0</v>
      </c>
      <c r="U35" s="211">
        <f t="shared" si="13"/>
        <v>0</v>
      </c>
      <c r="V35" s="130"/>
      <c r="W35" s="130"/>
      <c r="X35" s="134"/>
    </row>
    <row r="36" spans="1:24" s="127" customFormat="1" ht="10.8">
      <c r="A36" s="164"/>
      <c r="B36" s="164"/>
      <c r="C36" s="164"/>
      <c r="D36" s="164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134"/>
      <c r="W36" s="134"/>
      <c r="X36" s="134"/>
    </row>
    <row r="37" spans="1:24" s="178" customFormat="1" ht="25.5" customHeight="1" thickBot="1">
      <c r="A37" s="435" t="s">
        <v>84</v>
      </c>
      <c r="B37" s="435"/>
      <c r="C37" s="435"/>
      <c r="D37" s="435"/>
      <c r="E37" s="216">
        <f>SUM(E38:E40)</f>
        <v>0</v>
      </c>
      <c r="F37" s="216" t="e">
        <f>SUM(F38:F40)</f>
        <v>#REF!</v>
      </c>
      <c r="G37" s="216" t="e">
        <f t="shared" ref="G37:U37" si="14">SUM(G38:G40)</f>
        <v>#REF!</v>
      </c>
      <c r="H37" s="216">
        <f t="shared" si="14"/>
        <v>10436.163346214955</v>
      </c>
      <c r="I37" s="216">
        <f t="shared" si="14"/>
        <v>9584.9881766524359</v>
      </c>
      <c r="J37" s="216">
        <f t="shared" si="14"/>
        <v>9917.8963710065182</v>
      </c>
      <c r="K37" s="216">
        <f t="shared" si="14"/>
        <v>9735.6110033470577</v>
      </c>
      <c r="L37" s="216">
        <f t="shared" si="14"/>
        <v>9006.8037723475463</v>
      </c>
      <c r="M37" s="216">
        <f t="shared" si="14"/>
        <v>8315.0261691693249</v>
      </c>
      <c r="N37" s="216">
        <f t="shared" si="14"/>
        <v>7401.767728946701</v>
      </c>
      <c r="O37" s="216">
        <f t="shared" si="14"/>
        <v>5472.1088247533526</v>
      </c>
      <c r="P37" s="216">
        <f t="shared" si="14"/>
        <v>3836.5561573642244</v>
      </c>
      <c r="Q37" s="216">
        <f t="shared" si="14"/>
        <v>2603.1188709743915</v>
      </c>
      <c r="R37" s="216">
        <f t="shared" si="14"/>
        <v>1944.6848564814838</v>
      </c>
      <c r="S37" s="216">
        <f t="shared" si="14"/>
        <v>1944.6848564814838</v>
      </c>
      <c r="T37" s="216">
        <f t="shared" si="14"/>
        <v>1814.0351342592617</v>
      </c>
      <c r="U37" s="216">
        <f t="shared" si="14"/>
        <v>575.7047638888896</v>
      </c>
      <c r="V37" s="180"/>
      <c r="W37" s="180"/>
      <c r="X37" s="180"/>
    </row>
    <row r="38" spans="1:24" s="178" customFormat="1" ht="10.8">
      <c r="A38" s="434" t="s">
        <v>41</v>
      </c>
      <c r="B38" s="434"/>
      <c r="C38" s="434"/>
      <c r="D38" s="434"/>
      <c r="E38" s="217">
        <f>centralizator!D55</f>
        <v>0</v>
      </c>
      <c r="F38" s="217" t="e">
        <f>centralizator!#REF!</f>
        <v>#REF!</v>
      </c>
      <c r="G38" s="217" t="e">
        <f>centralizator!#REF!</f>
        <v>#REF!</v>
      </c>
      <c r="H38" s="217">
        <f>centralizator!H55</f>
        <v>7349.6880800476902</v>
      </c>
      <c r="I38" s="217">
        <f>centralizator!I55</f>
        <v>6405.2850600476904</v>
      </c>
      <c r="J38" s="217">
        <f>centralizator!J55</f>
        <v>6594.2193733810236</v>
      </c>
      <c r="K38" s="217">
        <f>centralizator!K55</f>
        <v>6937.6616230236905</v>
      </c>
      <c r="L38" s="217">
        <f>centralizator!L55</f>
        <v>6714.2291440476911</v>
      </c>
      <c r="M38" s="217">
        <f>centralizator!M55</f>
        <v>6532.2952824237582</v>
      </c>
      <c r="N38" s="217">
        <f>centralizator!N55</f>
        <v>6101.1082477683667</v>
      </c>
      <c r="O38" s="217">
        <f>centralizator!O55</f>
        <v>4595.3600779267363</v>
      </c>
      <c r="P38" s="217">
        <f>centralizator!P55</f>
        <v>3233.9387200000001</v>
      </c>
      <c r="Q38" s="217">
        <f>centralizator!Q55</f>
        <v>2219.5933600000003</v>
      </c>
      <c r="R38" s="217">
        <f>centralizator!R55</f>
        <v>1700.0000000000002</v>
      </c>
      <c r="S38" s="217">
        <f>centralizator!R55</f>
        <v>1700.0000000000002</v>
      </c>
      <c r="T38" s="217">
        <f>centralizator!S55</f>
        <v>1700.0000000000002</v>
      </c>
      <c r="U38" s="217">
        <f>centralizator!T55</f>
        <v>566.66666666666663</v>
      </c>
      <c r="V38" s="179"/>
      <c r="W38" s="179"/>
      <c r="X38" s="179"/>
    </row>
    <row r="39" spans="1:24" s="178" customFormat="1" ht="10.8">
      <c r="A39" s="434" t="s">
        <v>32</v>
      </c>
      <c r="B39" s="434"/>
      <c r="C39" s="434"/>
      <c r="D39" s="434"/>
      <c r="E39" s="217">
        <f>centralizator!D56</f>
        <v>0</v>
      </c>
      <c r="F39" s="217" t="e">
        <f>centralizator!#REF!</f>
        <v>#REF!</v>
      </c>
      <c r="G39" s="217" t="e">
        <f>centralizator!#REF!</f>
        <v>#REF!</v>
      </c>
      <c r="H39" s="217">
        <f>centralizator!H56</f>
        <v>3052.4752661672655</v>
      </c>
      <c r="I39" s="217">
        <f>centralizator!I56</f>
        <v>3179.703116604745</v>
      </c>
      <c r="J39" s="217">
        <f>centralizator!J56</f>
        <v>3323.6769976254946</v>
      </c>
      <c r="K39" s="217">
        <f>centralizator!K56</f>
        <v>2797.9493803233668</v>
      </c>
      <c r="L39" s="217">
        <f>centralizator!L56</f>
        <v>2292.5746282998552</v>
      </c>
      <c r="M39" s="217">
        <f>centralizator!M56</f>
        <v>1782.7308867455665</v>
      </c>
      <c r="N39" s="217">
        <f>centralizator!N56</f>
        <v>1300.6594811783345</v>
      </c>
      <c r="O39" s="217">
        <f>centralizator!O56</f>
        <v>876.74874682661596</v>
      </c>
      <c r="P39" s="217">
        <f>centralizator!P56</f>
        <v>602.61743736422443</v>
      </c>
      <c r="Q39" s="217">
        <f>centralizator!Q56</f>
        <v>383.52551097439101</v>
      </c>
      <c r="R39" s="217">
        <f>centralizator!R56</f>
        <v>244.68485648148359</v>
      </c>
      <c r="S39" s="217">
        <f>centralizator!R56</f>
        <v>244.68485648148359</v>
      </c>
      <c r="T39" s="217">
        <f>centralizator!S56</f>
        <v>114.03513425926144</v>
      </c>
      <c r="U39" s="217">
        <f>centralizator!T56</f>
        <v>9.0380972222229392</v>
      </c>
      <c r="V39" s="179"/>
      <c r="W39" s="179"/>
      <c r="X39" s="179"/>
    </row>
    <row r="40" spans="1:24" s="178" customFormat="1" ht="10.8">
      <c r="A40" s="434" t="s">
        <v>42</v>
      </c>
      <c r="B40" s="434"/>
      <c r="C40" s="434"/>
      <c r="D40" s="434"/>
      <c r="E40" s="217">
        <f>centralizator!D57</f>
        <v>0</v>
      </c>
      <c r="F40" s="217" t="e">
        <f>centralizator!#REF!</f>
        <v>#REF!</v>
      </c>
      <c r="G40" s="217" t="e">
        <f>centralizator!#REF!</f>
        <v>#REF!</v>
      </c>
      <c r="H40" s="217">
        <f>centralizator!H57</f>
        <v>34</v>
      </c>
      <c r="I40" s="217">
        <f>centralizator!I57</f>
        <v>0</v>
      </c>
      <c r="J40" s="217">
        <f>centralizator!J57</f>
        <v>0</v>
      </c>
      <c r="K40" s="217">
        <f>centralizator!K57</f>
        <v>0</v>
      </c>
      <c r="L40" s="217">
        <f>centralizator!L57</f>
        <v>0</v>
      </c>
      <c r="M40" s="217">
        <f>centralizator!M57</f>
        <v>0</v>
      </c>
      <c r="N40" s="217">
        <f>centralizator!N57</f>
        <v>0</v>
      </c>
      <c r="O40" s="217">
        <f>centralizator!O57</f>
        <v>0</v>
      </c>
      <c r="P40" s="217">
        <f>centralizator!P57</f>
        <v>0</v>
      </c>
      <c r="Q40" s="217">
        <f>centralizator!Q57</f>
        <v>0</v>
      </c>
      <c r="R40" s="217">
        <f>centralizator!R57</f>
        <v>0</v>
      </c>
      <c r="S40" s="217">
        <f>centralizator!P57</f>
        <v>0</v>
      </c>
      <c r="T40" s="217">
        <f>centralizator!Q57</f>
        <v>0</v>
      </c>
      <c r="U40" s="217">
        <f>centralizator!R57</f>
        <v>0</v>
      </c>
      <c r="V40" s="179"/>
      <c r="W40" s="179"/>
      <c r="X40" s="179"/>
    </row>
    <row r="41" spans="1:24" s="178" customFormat="1" ht="10.8">
      <c r="A41" s="201"/>
      <c r="B41" s="201"/>
      <c r="C41" s="201"/>
      <c r="D41" s="201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179"/>
      <c r="W41" s="179"/>
      <c r="X41" s="179"/>
    </row>
    <row r="42" spans="1:24" s="127" customFormat="1" ht="12.75" customHeight="1">
      <c r="A42" s="440" t="s">
        <v>185</v>
      </c>
      <c r="B42" s="440"/>
      <c r="C42" s="440"/>
      <c r="D42" s="440"/>
      <c r="E42" s="218">
        <f t="shared" ref="E42:S42" si="15">E5</f>
        <v>2018</v>
      </c>
      <c r="F42" s="373">
        <f t="shared" si="15"/>
        <v>2022</v>
      </c>
      <c r="G42" s="373">
        <f t="shared" si="15"/>
        <v>2023</v>
      </c>
      <c r="H42" s="373">
        <f t="shared" si="15"/>
        <v>2024</v>
      </c>
      <c r="I42" s="373">
        <f t="shared" si="15"/>
        <v>2025</v>
      </c>
      <c r="J42" s="373">
        <f t="shared" si="15"/>
        <v>2026</v>
      </c>
      <c r="K42" s="373">
        <f t="shared" si="15"/>
        <v>2027</v>
      </c>
      <c r="L42" s="373">
        <f t="shared" si="15"/>
        <v>2028</v>
      </c>
      <c r="M42" s="373">
        <f t="shared" si="15"/>
        <v>2029</v>
      </c>
      <c r="N42" s="373">
        <f t="shared" si="15"/>
        <v>2030</v>
      </c>
      <c r="O42" s="373">
        <f t="shared" si="15"/>
        <v>2031</v>
      </c>
      <c r="P42" s="373">
        <f t="shared" si="15"/>
        <v>2032</v>
      </c>
      <c r="Q42" s="373">
        <f t="shared" si="15"/>
        <v>2033</v>
      </c>
      <c r="R42" s="373">
        <f t="shared" si="15"/>
        <v>2034</v>
      </c>
      <c r="S42" s="218">
        <f t="shared" si="15"/>
        <v>2035</v>
      </c>
      <c r="T42" s="213"/>
      <c r="U42" s="213"/>
    </row>
    <row r="43" spans="1:24" s="127" customFormat="1" ht="37.5" customHeight="1">
      <c r="A43" s="440"/>
      <c r="B43" s="440"/>
      <c r="C43" s="440"/>
      <c r="D43" s="440"/>
      <c r="E43" s="219">
        <f>F43</f>
        <v>13111.534358999999</v>
      </c>
      <c r="F43" s="219">
        <f>SUM('grad indatorare'!C20:E20)/3/1000</f>
        <v>13111.534358999999</v>
      </c>
      <c r="G43" s="219">
        <f t="shared" ref="G43:O43" si="16">F43</f>
        <v>13111.534358999999</v>
      </c>
      <c r="H43" s="219">
        <f>G43</f>
        <v>13111.534358999999</v>
      </c>
      <c r="I43" s="219">
        <f>H43</f>
        <v>13111.534358999999</v>
      </c>
      <c r="J43" s="219">
        <f t="shared" si="16"/>
        <v>13111.534358999999</v>
      </c>
      <c r="K43" s="219">
        <f t="shared" si="16"/>
        <v>13111.534358999999</v>
      </c>
      <c r="L43" s="219">
        <f t="shared" si="16"/>
        <v>13111.534358999999</v>
      </c>
      <c r="M43" s="219">
        <f t="shared" si="16"/>
        <v>13111.534358999999</v>
      </c>
      <c r="N43" s="219">
        <f t="shared" si="16"/>
        <v>13111.534358999999</v>
      </c>
      <c r="O43" s="219">
        <f t="shared" si="16"/>
        <v>13111.534358999999</v>
      </c>
      <c r="P43" s="219">
        <f t="shared" ref="P43:U43" si="17">O43</f>
        <v>13111.534358999999</v>
      </c>
      <c r="Q43" s="219">
        <f t="shared" si="17"/>
        <v>13111.534358999999</v>
      </c>
      <c r="R43" s="219">
        <f t="shared" si="17"/>
        <v>13111.534358999999</v>
      </c>
      <c r="S43" s="219">
        <f t="shared" si="17"/>
        <v>13111.534358999999</v>
      </c>
      <c r="T43" s="219">
        <f t="shared" si="17"/>
        <v>13111.534358999999</v>
      </c>
      <c r="U43" s="219">
        <f t="shared" si="17"/>
        <v>13111.534358999999</v>
      </c>
      <c r="V43" s="135"/>
      <c r="W43" s="135"/>
      <c r="X43" s="135"/>
    </row>
    <row r="44" spans="1:24" s="127" customFormat="1" ht="10.8"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</row>
    <row r="45" spans="1:24" s="127" customFormat="1" ht="13.5" customHeight="1">
      <c r="A45" s="437" t="s">
        <v>44</v>
      </c>
      <c r="B45" s="437"/>
      <c r="C45" s="437"/>
      <c r="E45" s="138">
        <f>E32/E43*0.3</f>
        <v>0</v>
      </c>
      <c r="F45" s="138" t="e">
        <f>F32/F43*0.3</f>
        <v>#REF!</v>
      </c>
      <c r="G45" s="138" t="e">
        <f>G32/G43*0.3</f>
        <v>#REF!</v>
      </c>
      <c r="H45" s="138">
        <f>H32/H43*0.3</f>
        <v>0.24031886105699113</v>
      </c>
      <c r="I45" s="138" t="e">
        <f>I32/I43*0.3</f>
        <v>#REF!</v>
      </c>
      <c r="J45" s="138" t="e">
        <f t="shared" ref="J45:U45" si="18">J32/J43*0.3</f>
        <v>#REF!</v>
      </c>
      <c r="K45" s="138">
        <f t="shared" si="18"/>
        <v>0.22353473062382703</v>
      </c>
      <c r="L45" s="138">
        <f t="shared" si="18"/>
        <v>0.20608123029091047</v>
      </c>
      <c r="M45" s="138">
        <f t="shared" si="18"/>
        <v>0.19025293168976223</v>
      </c>
      <c r="N45" s="138">
        <f t="shared" si="18"/>
        <v>0.16935701481495927</v>
      </c>
      <c r="O45" s="138">
        <f t="shared" si="18"/>
        <v>0.12520522789151362</v>
      </c>
      <c r="P45" s="138">
        <f t="shared" si="18"/>
        <v>8.7782773220528729E-2</v>
      </c>
      <c r="Q45" s="138">
        <f t="shared" si="18"/>
        <v>5.9560966696187524E-2</v>
      </c>
      <c r="R45" s="138">
        <f t="shared" si="18"/>
        <v>4.449558998745138E-2</v>
      </c>
      <c r="S45" s="138">
        <f t="shared" si="18"/>
        <v>8.7782773220528729E-2</v>
      </c>
      <c r="T45" s="138">
        <f t="shared" si="18"/>
        <v>5.9560966696187524E-2</v>
      </c>
      <c r="U45" s="138">
        <f t="shared" si="18"/>
        <v>0</v>
      </c>
      <c r="V45" s="138"/>
      <c r="W45" s="138"/>
      <c r="X45" s="138"/>
    </row>
    <row r="46" spans="1:24" s="127" customFormat="1" ht="5.25" customHeight="1">
      <c r="A46" s="137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</row>
    <row r="47" spans="1:24" s="127" customFormat="1" ht="10.8" hidden="1">
      <c r="A47" s="182" t="s">
        <v>44</v>
      </c>
      <c r="E47" s="181">
        <f>E37/E43*0.3</f>
        <v>0</v>
      </c>
      <c r="F47" s="181" t="e">
        <f t="shared" ref="F47:U47" si="19">F37/F43*0.3</f>
        <v>#REF!</v>
      </c>
      <c r="G47" s="181" t="e">
        <f t="shared" si="19"/>
        <v>#REF!</v>
      </c>
      <c r="H47" s="181">
        <f t="shared" si="19"/>
        <v>0.23878585969729879</v>
      </c>
      <c r="I47" s="181">
        <f t="shared" si="19"/>
        <v>0.21931044637975089</v>
      </c>
      <c r="J47" s="181">
        <f t="shared" si="19"/>
        <v>0.22692759137374394</v>
      </c>
      <c r="K47" s="181">
        <f t="shared" si="19"/>
        <v>0.22275678963532641</v>
      </c>
      <c r="L47" s="181">
        <f t="shared" si="19"/>
        <v>0.20608123029091047</v>
      </c>
      <c r="M47" s="181">
        <f t="shared" si="19"/>
        <v>0.19025293168976223</v>
      </c>
      <c r="N47" s="181">
        <f t="shared" si="19"/>
        <v>0.16935701481495927</v>
      </c>
      <c r="O47" s="181">
        <f t="shared" si="19"/>
        <v>0.12520522789151362</v>
      </c>
      <c r="P47" s="181">
        <f t="shared" si="19"/>
        <v>8.7782773220528729E-2</v>
      </c>
      <c r="Q47" s="181">
        <f t="shared" si="19"/>
        <v>5.9560966696187524E-2</v>
      </c>
      <c r="R47" s="181">
        <f t="shared" si="19"/>
        <v>4.449558998745138E-2</v>
      </c>
      <c r="S47" s="181">
        <f t="shared" si="19"/>
        <v>4.449558998745138E-2</v>
      </c>
      <c r="T47" s="181">
        <f t="shared" si="19"/>
        <v>4.1506243691778327E-2</v>
      </c>
      <c r="U47" s="181">
        <f t="shared" si="19"/>
        <v>1.3172480385418397E-2</v>
      </c>
      <c r="V47" s="181"/>
      <c r="W47" s="181"/>
      <c r="X47" s="181"/>
    </row>
    <row r="48" spans="1:24" s="126" customFormat="1" ht="12" hidden="1"/>
    <row r="71" ht="3.75" customHeight="1"/>
    <row r="72" hidden="1"/>
  </sheetData>
  <mergeCells count="30">
    <mergeCell ref="A23:D23"/>
    <mergeCell ref="A24:D24"/>
    <mergeCell ref="A34:D34"/>
    <mergeCell ref="A35:D35"/>
    <mergeCell ref="A45:C45"/>
    <mergeCell ref="A31:D31"/>
    <mergeCell ref="A32:D32"/>
    <mergeCell ref="A33:D33"/>
    <mergeCell ref="A42:D43"/>
    <mergeCell ref="A10:D10"/>
    <mergeCell ref="A12:C12"/>
    <mergeCell ref="A38:D38"/>
    <mergeCell ref="A39:D39"/>
    <mergeCell ref="A40:D40"/>
    <mergeCell ref="A17:D17"/>
    <mergeCell ref="A18:D18"/>
    <mergeCell ref="A19:D19"/>
    <mergeCell ref="A20:D20"/>
    <mergeCell ref="A25:D25"/>
    <mergeCell ref="A30:D30"/>
    <mergeCell ref="A37:D37"/>
    <mergeCell ref="A27:D27"/>
    <mergeCell ref="A28:D28"/>
    <mergeCell ref="A29:D29"/>
    <mergeCell ref="A22:D22"/>
    <mergeCell ref="I2:O2"/>
    <mergeCell ref="B2:H2"/>
    <mergeCell ref="A7:D7"/>
    <mergeCell ref="A8:D8"/>
    <mergeCell ref="A9:D9"/>
  </mergeCells>
  <pageMargins left="0.15" right="0.09" top="0.18" bottom="7158278.8300000001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45"/>
  <sheetViews>
    <sheetView topLeftCell="B61" workbookViewId="0">
      <selection activeCell="J27" sqref="J27"/>
    </sheetView>
  </sheetViews>
  <sheetFormatPr defaultRowHeight="13.2"/>
  <cols>
    <col min="1" max="1" width="4.6640625" hidden="1" customWidth="1"/>
    <col min="2" max="2" width="14.33203125" style="230" customWidth="1"/>
    <col min="3" max="3" width="16.77734375" style="230" customWidth="1"/>
    <col min="4" max="4" width="16.6640625" style="230" bestFit="1" customWidth="1"/>
    <col min="5" max="5" width="18.77734375" bestFit="1" customWidth="1"/>
    <col min="6" max="6" width="17.6640625" bestFit="1" customWidth="1"/>
    <col min="7" max="7" width="18.77734375" bestFit="1" customWidth="1"/>
    <col min="9" max="9" width="15.6640625" bestFit="1" customWidth="1"/>
    <col min="10" max="10" width="14.33203125" bestFit="1" customWidth="1"/>
    <col min="11" max="19" width="14.109375" bestFit="1" customWidth="1"/>
    <col min="20" max="20" width="13" bestFit="1" customWidth="1"/>
    <col min="24" max="24" width="15.6640625" bestFit="1" customWidth="1"/>
  </cols>
  <sheetData>
    <row r="1" spans="1:24" hidden="1">
      <c r="D1" s="200">
        <v>10210204</v>
      </c>
      <c r="E1" s="200">
        <f>D3-D1</f>
        <v>-8269107.4500000002</v>
      </c>
    </row>
    <row r="2" spans="1:24" ht="13.8">
      <c r="C2" s="315" t="s">
        <v>140</v>
      </c>
    </row>
    <row r="3" spans="1:24">
      <c r="B3" s="230" t="s">
        <v>138</v>
      </c>
      <c r="D3" s="316">
        <v>1941096.55</v>
      </c>
      <c r="J3">
        <v>2019</v>
      </c>
      <c r="K3">
        <f>J3+1</f>
        <v>2020</v>
      </c>
      <c r="L3">
        <f t="shared" ref="L3:T3" si="0">K3+1</f>
        <v>2021</v>
      </c>
      <c r="M3">
        <f t="shared" si="0"/>
        <v>2022</v>
      </c>
      <c r="N3">
        <f t="shared" si="0"/>
        <v>2023</v>
      </c>
      <c r="O3">
        <f t="shared" si="0"/>
        <v>2024</v>
      </c>
      <c r="P3">
        <f t="shared" si="0"/>
        <v>2025</v>
      </c>
      <c r="Q3">
        <f t="shared" si="0"/>
        <v>2026</v>
      </c>
      <c r="R3">
        <f t="shared" si="0"/>
        <v>2027</v>
      </c>
      <c r="S3">
        <f t="shared" si="0"/>
        <v>2028</v>
      </c>
      <c r="T3">
        <f t="shared" si="0"/>
        <v>2029</v>
      </c>
    </row>
    <row r="4" spans="1:24">
      <c r="B4" s="230" t="s">
        <v>32</v>
      </c>
      <c r="D4" s="311">
        <f>D5+D6</f>
        <v>7.0099999999999996E-2</v>
      </c>
      <c r="I4" t="s">
        <v>58</v>
      </c>
      <c r="J4" s="200">
        <f>I23</f>
        <v>66362.27521367521</v>
      </c>
      <c r="K4" s="200">
        <f>I35</f>
        <v>199086.82564102564</v>
      </c>
      <c r="L4" s="200">
        <f>I47</f>
        <v>199086.82564102564</v>
      </c>
      <c r="M4" s="200">
        <f>I59</f>
        <v>199086.82564102564</v>
      </c>
      <c r="N4" s="200">
        <f>I71</f>
        <v>199086.82564102564</v>
      </c>
      <c r="O4" s="200">
        <f>I83</f>
        <v>199086.82564102564</v>
      </c>
      <c r="P4" s="200">
        <f>I95</f>
        <v>199086.82564102564</v>
      </c>
      <c r="Q4" s="200">
        <f>I107</f>
        <v>199086.82564102564</v>
      </c>
      <c r="R4" s="200">
        <f>I119</f>
        <v>199086.82564102564</v>
      </c>
      <c r="S4" s="200">
        <f>I131</f>
        <v>199086.82564102564</v>
      </c>
      <c r="T4" s="200">
        <f>I137</f>
        <v>82952.844017094016</v>
      </c>
      <c r="U4" s="200"/>
      <c r="V4" s="200"/>
      <c r="W4" s="200"/>
      <c r="X4" s="200">
        <f>SUM(J4:W4)</f>
        <v>1941096.5499999996</v>
      </c>
    </row>
    <row r="5" spans="1:24">
      <c r="B5" s="230" t="s">
        <v>192</v>
      </c>
      <c r="D5" s="311">
        <v>6.0199999999999997E-2</v>
      </c>
      <c r="I5" t="s">
        <v>20</v>
      </c>
      <c r="J5" s="200">
        <f>J23</f>
        <v>57235.697319613835</v>
      </c>
      <c r="K5" s="200">
        <f>J35</f>
        <v>127089.93241257589</v>
      </c>
      <c r="L5" s="200">
        <f>J47</f>
        <v>112578.29091798277</v>
      </c>
      <c r="M5" s="200">
        <f>J59</f>
        <v>98428.471295026829</v>
      </c>
      <c r="N5" s="200">
        <f>J71</f>
        <v>84278.651672070933</v>
      </c>
      <c r="O5" s="200">
        <f>J83</f>
        <v>70335.587404336329</v>
      </c>
      <c r="P5" s="200">
        <f>J95</f>
        <v>55979.012426159235</v>
      </c>
      <c r="Q5" s="200">
        <f>J107</f>
        <v>41829.192803203419</v>
      </c>
      <c r="R5" s="200">
        <f>J119</f>
        <v>27679.373180247607</v>
      </c>
      <c r="S5" s="200">
        <f>J131</f>
        <v>13581.242396097092</v>
      </c>
      <c r="T5" s="200">
        <f>J137</f>
        <v>1456.9791438248026</v>
      </c>
      <c r="U5" s="200"/>
      <c r="V5" s="200"/>
      <c r="W5" s="200"/>
      <c r="X5" s="200">
        <f>SUM(J5:W5)</f>
        <v>690472.43097113864</v>
      </c>
    </row>
    <row r="6" spans="1:24">
      <c r="B6" s="230" t="s">
        <v>22</v>
      </c>
      <c r="D6" s="311">
        <v>9.9000000000000008E-3</v>
      </c>
    </row>
    <row r="7" spans="1:24">
      <c r="B7" s="230" t="s">
        <v>17</v>
      </c>
    </row>
    <row r="9" spans="1:24" ht="13.8" thickBot="1"/>
    <row r="10" spans="1:24" ht="26.4">
      <c r="B10" s="317" t="s">
        <v>98</v>
      </c>
      <c r="C10" s="318" t="s">
        <v>141</v>
      </c>
      <c r="D10" s="318" t="s">
        <v>36</v>
      </c>
      <c r="E10" s="319" t="s">
        <v>142</v>
      </c>
      <c r="F10" s="318" t="s">
        <v>32</v>
      </c>
      <c r="G10" s="320" t="s">
        <v>40</v>
      </c>
    </row>
    <row r="11" spans="1:24">
      <c r="B11" s="321">
        <v>1</v>
      </c>
      <c r="C11" s="322">
        <v>2</v>
      </c>
      <c r="D11" s="322">
        <v>3</v>
      </c>
      <c r="E11" s="323">
        <v>4</v>
      </c>
      <c r="F11" s="322">
        <v>5</v>
      </c>
      <c r="G11" s="324" t="s">
        <v>143</v>
      </c>
    </row>
    <row r="12" spans="1:24" hidden="1">
      <c r="B12" s="325">
        <v>43496</v>
      </c>
      <c r="G12" s="326"/>
    </row>
    <row r="13" spans="1:24" hidden="1">
      <c r="B13" s="325">
        <f>EOMONTH(B12,1)</f>
        <v>43524</v>
      </c>
      <c r="G13" s="326"/>
    </row>
    <row r="14" spans="1:24" hidden="1">
      <c r="B14" s="325">
        <f t="shared" ref="B14:B77" si="1">EOMONTH(B13,1)</f>
        <v>43555</v>
      </c>
      <c r="D14" s="327"/>
      <c r="E14" s="327"/>
      <c r="F14" s="327"/>
      <c r="G14" s="328"/>
    </row>
    <row r="15" spans="1:24" hidden="1">
      <c r="B15" s="325">
        <f t="shared" si="1"/>
        <v>43585</v>
      </c>
      <c r="D15" s="327"/>
      <c r="E15" s="327"/>
      <c r="F15" s="327"/>
      <c r="G15" s="328"/>
    </row>
    <row r="16" spans="1:24">
      <c r="A16">
        <v>0</v>
      </c>
      <c r="B16" s="329">
        <f t="shared" si="1"/>
        <v>43616</v>
      </c>
      <c r="C16" s="234"/>
      <c r="D16" s="232"/>
      <c r="E16" s="232"/>
      <c r="F16" s="232"/>
      <c r="G16" s="239">
        <f>E16+F16</f>
        <v>0</v>
      </c>
    </row>
    <row r="17" spans="1:10" s="56" customFormat="1">
      <c r="A17" s="56">
        <v>1</v>
      </c>
      <c r="B17" s="330">
        <f t="shared" si="1"/>
        <v>43646</v>
      </c>
      <c r="C17" s="331"/>
      <c r="D17" s="331">
        <f>C17</f>
        <v>0</v>
      </c>
      <c r="E17" s="331"/>
      <c r="F17" s="331">
        <v>0</v>
      </c>
      <c r="G17" s="332">
        <f t="shared" ref="G17:G80" si="2">E17+F17</f>
        <v>0</v>
      </c>
    </row>
    <row r="18" spans="1:10" s="56" customFormat="1">
      <c r="A18" s="56">
        <f t="shared" ref="A18:A81" si="3">A17+1</f>
        <v>2</v>
      </c>
      <c r="B18" s="330">
        <f t="shared" si="1"/>
        <v>43677</v>
      </c>
      <c r="C18" s="331">
        <v>0</v>
      </c>
      <c r="D18" s="331">
        <f>D17+C18</f>
        <v>0</v>
      </c>
      <c r="E18" s="331"/>
      <c r="F18" s="331">
        <f>(B18-B17)*$D$4*D18/360</f>
        <v>0</v>
      </c>
      <c r="G18" s="332">
        <f t="shared" si="2"/>
        <v>0</v>
      </c>
    </row>
    <row r="19" spans="1:10" s="56" customFormat="1">
      <c r="A19" s="56">
        <f t="shared" si="3"/>
        <v>3</v>
      </c>
      <c r="B19" s="330">
        <f t="shared" si="1"/>
        <v>43708</v>
      </c>
      <c r="C19" s="331">
        <f>D3</f>
        <v>1941096.55</v>
      </c>
      <c r="D19" s="331">
        <f>D18+C19</f>
        <v>1941096.55</v>
      </c>
      <c r="E19" s="331"/>
      <c r="F19" s="331">
        <f>(B19-B18)*$D$4*D19/360</f>
        <v>11717.213646680553</v>
      </c>
      <c r="G19" s="333">
        <f t="shared" si="2"/>
        <v>11717.213646680553</v>
      </c>
    </row>
    <row r="20" spans="1:10" s="56" customFormat="1">
      <c r="A20" s="56">
        <f t="shared" si="3"/>
        <v>4</v>
      </c>
      <c r="B20" s="330">
        <f t="shared" si="1"/>
        <v>43738</v>
      </c>
      <c r="C20" s="331"/>
      <c r="D20" s="331">
        <f>D19+C20</f>
        <v>1941096.55</v>
      </c>
      <c r="E20" s="331">
        <f>D3/117</f>
        <v>16590.568803418802</v>
      </c>
      <c r="F20" s="331">
        <f>(B20-B19)*$D$4*D20/360</f>
        <v>11339.239012916665</v>
      </c>
      <c r="G20" s="333">
        <f>E20+F20</f>
        <v>27929.807816335466</v>
      </c>
    </row>
    <row r="21" spans="1:10" s="56" customFormat="1">
      <c r="A21" s="56">
        <f t="shared" si="3"/>
        <v>5</v>
      </c>
      <c r="B21" s="330">
        <f t="shared" si="1"/>
        <v>43769</v>
      </c>
      <c r="C21" s="331"/>
      <c r="D21" s="331">
        <f>D20-E20</f>
        <v>1924505.9811965812</v>
      </c>
      <c r="E21" s="331">
        <f>E20</f>
        <v>16590.568803418802</v>
      </c>
      <c r="F21" s="331">
        <f t="shared" ref="F21:F35" si="4">(B21-B20)*$D$4*D21/360</f>
        <v>11617.066521495251</v>
      </c>
      <c r="G21" s="333">
        <f t="shared" si="2"/>
        <v>28207.635324914052</v>
      </c>
    </row>
    <row r="22" spans="1:10" s="56" customFormat="1">
      <c r="A22" s="56">
        <f t="shared" si="3"/>
        <v>6</v>
      </c>
      <c r="B22" s="330">
        <f t="shared" si="1"/>
        <v>43799</v>
      </c>
      <c r="C22" s="331"/>
      <c r="D22" s="331">
        <f t="shared" ref="D22:D85" si="5">D21-E21</f>
        <v>1907915.4123931623</v>
      </c>
      <c r="E22" s="331">
        <f t="shared" ref="E22:E85" si="6">E21</f>
        <v>16590.568803418802</v>
      </c>
      <c r="F22" s="331">
        <f t="shared" si="4"/>
        <v>11145.405867396721</v>
      </c>
      <c r="G22" s="333">
        <f t="shared" si="2"/>
        <v>27735.974670815522</v>
      </c>
    </row>
    <row r="23" spans="1:10" s="56" customFormat="1">
      <c r="A23" s="56">
        <f t="shared" si="3"/>
        <v>7</v>
      </c>
      <c r="B23" s="334">
        <f t="shared" si="1"/>
        <v>43830</v>
      </c>
      <c r="C23" s="335"/>
      <c r="D23" s="335">
        <f t="shared" si="5"/>
        <v>1891324.8435897434</v>
      </c>
      <c r="E23" s="335">
        <f t="shared" si="6"/>
        <v>16590.568803418802</v>
      </c>
      <c r="F23" s="335">
        <f t="shared" si="4"/>
        <v>11416.772271124641</v>
      </c>
      <c r="G23" s="336">
        <f t="shared" si="2"/>
        <v>28007.341074543445</v>
      </c>
      <c r="I23" s="202">
        <f>SUM(E19:E23)</f>
        <v>66362.27521367521</v>
      </c>
      <c r="J23" s="202">
        <f>SUM(F19:F23)</f>
        <v>57235.697319613835</v>
      </c>
    </row>
    <row r="24" spans="1:10" s="56" customFormat="1">
      <c r="A24" s="56">
        <f t="shared" si="3"/>
        <v>8</v>
      </c>
      <c r="B24" s="330">
        <f t="shared" si="1"/>
        <v>43861</v>
      </c>
      <c r="C24" s="331"/>
      <c r="D24" s="331">
        <f t="shared" si="5"/>
        <v>1874734.2747863245</v>
      </c>
      <c r="E24" s="331">
        <f t="shared" si="6"/>
        <v>16590.568803418802</v>
      </c>
      <c r="F24" s="331">
        <f t="shared" si="4"/>
        <v>11316.625145939337</v>
      </c>
      <c r="G24" s="333">
        <f t="shared" si="2"/>
        <v>27907.193949358138</v>
      </c>
      <c r="I24" s="202"/>
      <c r="J24" s="202"/>
    </row>
    <row r="25" spans="1:10" s="56" customFormat="1">
      <c r="A25" s="56">
        <f t="shared" si="3"/>
        <v>9</v>
      </c>
      <c r="B25" s="330">
        <f t="shared" si="1"/>
        <v>43890</v>
      </c>
      <c r="C25" s="331"/>
      <c r="D25" s="331">
        <f t="shared" si="5"/>
        <v>1858143.7059829056</v>
      </c>
      <c r="E25" s="331">
        <f t="shared" si="6"/>
        <v>16590.568803418802</v>
      </c>
      <c r="F25" s="331">
        <f t="shared" si="4"/>
        <v>10492.834277479578</v>
      </c>
      <c r="G25" s="333">
        <f t="shared" si="2"/>
        <v>27083.403080898381</v>
      </c>
      <c r="I25" s="202"/>
      <c r="J25" s="202"/>
    </row>
    <row r="26" spans="1:10" s="56" customFormat="1">
      <c r="A26" s="56">
        <f t="shared" si="3"/>
        <v>10</v>
      </c>
      <c r="B26" s="330">
        <f t="shared" si="1"/>
        <v>43921</v>
      </c>
      <c r="C26" s="331"/>
      <c r="D26" s="331">
        <f t="shared" si="5"/>
        <v>1841553.1371794867</v>
      </c>
      <c r="E26" s="331">
        <f t="shared" si="6"/>
        <v>16590.568803418802</v>
      </c>
      <c r="F26" s="331">
        <f t="shared" si="4"/>
        <v>11116.330895568728</v>
      </c>
      <c r="G26" s="333">
        <f t="shared" si="2"/>
        <v>27706.89969898753</v>
      </c>
      <c r="I26" s="202"/>
      <c r="J26" s="202"/>
    </row>
    <row r="27" spans="1:10" s="56" customFormat="1">
      <c r="A27" s="56">
        <f t="shared" si="3"/>
        <v>11</v>
      </c>
      <c r="B27" s="330">
        <f t="shared" si="1"/>
        <v>43951</v>
      </c>
      <c r="C27" s="331"/>
      <c r="D27" s="331">
        <f t="shared" si="5"/>
        <v>1824962.5683760678</v>
      </c>
      <c r="E27" s="331">
        <f t="shared" si="6"/>
        <v>16590.568803418802</v>
      </c>
      <c r="F27" s="331">
        <f>(B27-B26)*$D$4*D27/360</f>
        <v>10660.823003596861</v>
      </c>
      <c r="G27" s="333">
        <f t="shared" si="2"/>
        <v>27251.391807015665</v>
      </c>
      <c r="I27" s="202"/>
      <c r="J27" s="202"/>
    </row>
    <row r="28" spans="1:10" s="56" customFormat="1">
      <c r="A28" s="56">
        <f t="shared" si="3"/>
        <v>12</v>
      </c>
      <c r="B28" s="330">
        <f t="shared" si="1"/>
        <v>43982</v>
      </c>
      <c r="C28" s="331"/>
      <c r="D28" s="331">
        <f t="shared" si="5"/>
        <v>1808371.9995726489</v>
      </c>
      <c r="E28" s="331">
        <f t="shared" si="6"/>
        <v>16590.568803418802</v>
      </c>
      <c r="F28" s="331">
        <f t="shared" si="4"/>
        <v>10916.036645198119</v>
      </c>
      <c r="G28" s="333">
        <f t="shared" si="2"/>
        <v>27506.605448616923</v>
      </c>
      <c r="I28" s="202"/>
      <c r="J28" s="202"/>
    </row>
    <row r="29" spans="1:10" s="56" customFormat="1">
      <c r="A29" s="56">
        <f t="shared" si="3"/>
        <v>13</v>
      </c>
      <c r="B29" s="330">
        <f t="shared" si="1"/>
        <v>44012</v>
      </c>
      <c r="C29" s="331"/>
      <c r="D29" s="331">
        <f t="shared" si="5"/>
        <v>1791781.43076923</v>
      </c>
      <c r="E29" s="331">
        <f t="shared" si="6"/>
        <v>16590.568803418802</v>
      </c>
      <c r="F29" s="331">
        <f t="shared" si="4"/>
        <v>10466.989858076919</v>
      </c>
      <c r="G29" s="333">
        <f t="shared" si="2"/>
        <v>27057.558661495721</v>
      </c>
      <c r="I29" s="202"/>
      <c r="J29" s="202"/>
    </row>
    <row r="30" spans="1:10" s="56" customFormat="1">
      <c r="A30" s="56">
        <f t="shared" si="3"/>
        <v>14</v>
      </c>
      <c r="B30" s="330">
        <f t="shared" si="1"/>
        <v>44043</v>
      </c>
      <c r="C30" s="331"/>
      <c r="D30" s="331">
        <f t="shared" si="5"/>
        <v>1775190.8619658111</v>
      </c>
      <c r="E30" s="331">
        <f t="shared" si="6"/>
        <v>16590.568803418802</v>
      </c>
      <c r="F30" s="331">
        <f t="shared" si="4"/>
        <v>10715.74239482751</v>
      </c>
      <c r="G30" s="333">
        <f t="shared" si="2"/>
        <v>27306.311198246312</v>
      </c>
      <c r="I30" s="202"/>
      <c r="J30" s="202"/>
    </row>
    <row r="31" spans="1:10" s="56" customFormat="1">
      <c r="A31" s="56">
        <f t="shared" si="3"/>
        <v>15</v>
      </c>
      <c r="B31" s="330">
        <f t="shared" si="1"/>
        <v>44074</v>
      </c>
      <c r="C31" s="331"/>
      <c r="D31" s="331">
        <f t="shared" si="5"/>
        <v>1758600.2931623922</v>
      </c>
      <c r="E31" s="331">
        <f t="shared" si="6"/>
        <v>16590.568803418802</v>
      </c>
      <c r="F31" s="331">
        <f t="shared" si="4"/>
        <v>10615.595269642206</v>
      </c>
      <c r="G31" s="333">
        <f t="shared" si="2"/>
        <v>27206.164073061009</v>
      </c>
      <c r="I31" s="202"/>
      <c r="J31" s="202"/>
    </row>
    <row r="32" spans="1:10" s="56" customFormat="1">
      <c r="A32" s="56">
        <f t="shared" si="3"/>
        <v>16</v>
      </c>
      <c r="B32" s="330">
        <f t="shared" si="1"/>
        <v>44104</v>
      </c>
      <c r="C32" s="331"/>
      <c r="D32" s="331">
        <f t="shared" si="5"/>
        <v>1742009.7243589733</v>
      </c>
      <c r="E32" s="331">
        <f t="shared" si="6"/>
        <v>16590.568803418802</v>
      </c>
      <c r="F32" s="331">
        <f t="shared" si="4"/>
        <v>10176.240139797001</v>
      </c>
      <c r="G32" s="333">
        <f t="shared" si="2"/>
        <v>26766.808943215801</v>
      </c>
      <c r="I32" s="202"/>
      <c r="J32" s="202"/>
    </row>
    <row r="33" spans="1:10" s="56" customFormat="1">
      <c r="A33" s="56">
        <f t="shared" si="3"/>
        <v>17</v>
      </c>
      <c r="B33" s="330">
        <f t="shared" si="1"/>
        <v>44135</v>
      </c>
      <c r="C33" s="331"/>
      <c r="D33" s="331">
        <f t="shared" si="5"/>
        <v>1725419.1555555544</v>
      </c>
      <c r="E33" s="331">
        <f t="shared" si="6"/>
        <v>16590.568803418802</v>
      </c>
      <c r="F33" s="331">
        <f>(B33-B32)*$D$4*D33/360</f>
        <v>10415.301019271597</v>
      </c>
      <c r="G33" s="333">
        <f t="shared" si="2"/>
        <v>27005.869822690402</v>
      </c>
      <c r="I33" s="202"/>
      <c r="J33" s="202"/>
    </row>
    <row r="34" spans="1:10" s="56" customFormat="1">
      <c r="A34" s="56">
        <f t="shared" si="3"/>
        <v>18</v>
      </c>
      <c r="B34" s="330">
        <f t="shared" si="1"/>
        <v>44165</v>
      </c>
      <c r="C34" s="337"/>
      <c r="D34" s="331">
        <f t="shared" si="5"/>
        <v>1708828.5867521355</v>
      </c>
      <c r="E34" s="331">
        <f t="shared" si="6"/>
        <v>16590.568803418802</v>
      </c>
      <c r="F34" s="331">
        <f t="shared" si="4"/>
        <v>9982.4069942770584</v>
      </c>
      <c r="G34" s="333">
        <f t="shared" si="2"/>
        <v>26572.975797695861</v>
      </c>
      <c r="I34" s="202"/>
      <c r="J34" s="202"/>
    </row>
    <row r="35" spans="1:10" s="56" customFormat="1">
      <c r="A35" s="56">
        <f t="shared" si="3"/>
        <v>19</v>
      </c>
      <c r="B35" s="334">
        <f t="shared" si="1"/>
        <v>44196</v>
      </c>
      <c r="C35" s="338"/>
      <c r="D35" s="335">
        <f t="shared" si="5"/>
        <v>1692238.0179487166</v>
      </c>
      <c r="E35" s="335">
        <f t="shared" si="6"/>
        <v>16590.568803418802</v>
      </c>
      <c r="F35" s="335">
        <f t="shared" si="4"/>
        <v>10215.006768900988</v>
      </c>
      <c r="G35" s="336">
        <f t="shared" si="2"/>
        <v>26805.575572319791</v>
      </c>
      <c r="I35" s="202">
        <f>SUM(E24:E35)</f>
        <v>199086.82564102564</v>
      </c>
      <c r="J35" s="202">
        <f>SUM(F24:F35)</f>
        <v>127089.93241257589</v>
      </c>
    </row>
    <row r="36" spans="1:10" s="56" customFormat="1">
      <c r="A36" s="56">
        <f t="shared" si="3"/>
        <v>20</v>
      </c>
      <c r="B36" s="330">
        <f t="shared" si="1"/>
        <v>44227</v>
      </c>
      <c r="C36" s="337"/>
      <c r="D36" s="331">
        <f t="shared" si="5"/>
        <v>1675647.4491452978</v>
      </c>
      <c r="E36" s="331">
        <f t="shared" si="6"/>
        <v>16590.568803418802</v>
      </c>
      <c r="F36" s="331">
        <f>(B36-B35)*D36*$D$4/360</f>
        <v>10114.859643715685</v>
      </c>
      <c r="G36" s="333">
        <f t="shared" si="2"/>
        <v>26705.428447134487</v>
      </c>
      <c r="I36" s="202"/>
      <c r="J36" s="202"/>
    </row>
    <row r="37" spans="1:10" s="56" customFormat="1">
      <c r="A37" s="56">
        <f t="shared" si="3"/>
        <v>21</v>
      </c>
      <c r="B37" s="330">
        <f t="shared" si="1"/>
        <v>44255</v>
      </c>
      <c r="C37" s="337"/>
      <c r="D37" s="331">
        <f t="shared" si="5"/>
        <v>1659056.8803418789</v>
      </c>
      <c r="E37" s="331">
        <f t="shared" si="6"/>
        <v>16590.568803418802</v>
      </c>
      <c r="F37" s="331">
        <f t="shared" ref="F37:F100" si="7">(B37-B36)*D37*$D$4/360</f>
        <v>9045.5467909306662</v>
      </c>
      <c r="G37" s="333">
        <f t="shared" si="2"/>
        <v>25636.115594349467</v>
      </c>
      <c r="I37" s="202"/>
      <c r="J37" s="202"/>
    </row>
    <row r="38" spans="1:10" s="56" customFormat="1">
      <c r="A38" s="56">
        <f t="shared" si="3"/>
        <v>22</v>
      </c>
      <c r="B38" s="330">
        <f t="shared" si="1"/>
        <v>44286</v>
      </c>
      <c r="C38" s="337"/>
      <c r="D38" s="331">
        <f t="shared" si="5"/>
        <v>1642466.31153846</v>
      </c>
      <c r="E38" s="331">
        <f t="shared" si="6"/>
        <v>16590.568803418802</v>
      </c>
      <c r="F38" s="331">
        <f t="shared" si="7"/>
        <v>9914.5653933450758</v>
      </c>
      <c r="G38" s="333">
        <f t="shared" si="2"/>
        <v>26505.13419676388</v>
      </c>
      <c r="I38" s="202"/>
      <c r="J38" s="202"/>
    </row>
    <row r="39" spans="1:10" s="56" customFormat="1">
      <c r="A39" s="56">
        <f t="shared" si="3"/>
        <v>23</v>
      </c>
      <c r="B39" s="330">
        <f t="shared" si="1"/>
        <v>44316</v>
      </c>
      <c r="C39" s="331"/>
      <c r="D39" s="331">
        <f>D38-E38</f>
        <v>1625875.7427350411</v>
      </c>
      <c r="E39" s="331">
        <f t="shared" si="6"/>
        <v>16590.568803418802</v>
      </c>
      <c r="F39" s="331">
        <f t="shared" si="7"/>
        <v>9497.8241304771982</v>
      </c>
      <c r="G39" s="333">
        <f t="shared" si="2"/>
        <v>26088.392933896001</v>
      </c>
      <c r="I39" s="202"/>
      <c r="J39" s="202"/>
    </row>
    <row r="40" spans="1:10" s="56" customFormat="1">
      <c r="A40" s="56">
        <f>A39+1</f>
        <v>24</v>
      </c>
      <c r="B40" s="330">
        <f t="shared" si="1"/>
        <v>44347</v>
      </c>
      <c r="C40" s="337"/>
      <c r="D40" s="331">
        <f>D39-E39</f>
        <v>1609285.1739316222</v>
      </c>
      <c r="E40" s="331">
        <f t="shared" si="6"/>
        <v>16590.568803418802</v>
      </c>
      <c r="F40" s="331">
        <f t="shared" si="7"/>
        <v>9714.2711429744668</v>
      </c>
      <c r="G40" s="333">
        <f t="shared" si="2"/>
        <v>26304.839946393269</v>
      </c>
      <c r="I40" s="202"/>
      <c r="J40" s="202"/>
    </row>
    <row r="41" spans="1:10" s="56" customFormat="1">
      <c r="A41" s="56">
        <f t="shared" si="3"/>
        <v>25</v>
      </c>
      <c r="B41" s="330">
        <f t="shared" si="1"/>
        <v>44377</v>
      </c>
      <c r="C41" s="337"/>
      <c r="D41" s="331">
        <f t="shared" si="5"/>
        <v>1592694.6051282033</v>
      </c>
      <c r="E41" s="331">
        <f t="shared" si="6"/>
        <v>16590.568803418802</v>
      </c>
      <c r="F41" s="331">
        <f t="shared" si="7"/>
        <v>9303.9909849572541</v>
      </c>
      <c r="G41" s="333">
        <f t="shared" si="2"/>
        <v>25894.559788376057</v>
      </c>
      <c r="I41" s="202"/>
      <c r="J41" s="202"/>
    </row>
    <row r="42" spans="1:10" s="56" customFormat="1">
      <c r="A42" s="56">
        <f t="shared" si="3"/>
        <v>26</v>
      </c>
      <c r="B42" s="330">
        <f t="shared" si="1"/>
        <v>44408</v>
      </c>
      <c r="C42" s="337"/>
      <c r="D42" s="331">
        <f t="shared" si="5"/>
        <v>1576104.0363247844</v>
      </c>
      <c r="E42" s="331">
        <f t="shared" si="6"/>
        <v>16590.568803418802</v>
      </c>
      <c r="F42" s="331">
        <f t="shared" si="7"/>
        <v>9513.9768926038578</v>
      </c>
      <c r="G42" s="333">
        <f t="shared" si="2"/>
        <v>26104.545696022658</v>
      </c>
      <c r="I42" s="202"/>
      <c r="J42" s="202"/>
    </row>
    <row r="43" spans="1:10" s="56" customFormat="1">
      <c r="A43" s="56">
        <f t="shared" si="3"/>
        <v>27</v>
      </c>
      <c r="B43" s="330">
        <f t="shared" si="1"/>
        <v>44439</v>
      </c>
      <c r="C43" s="337"/>
      <c r="D43" s="331">
        <f t="shared" si="5"/>
        <v>1559513.4675213655</v>
      </c>
      <c r="E43" s="331">
        <f t="shared" si="6"/>
        <v>16590.568803418802</v>
      </c>
      <c r="F43" s="331">
        <f t="shared" si="7"/>
        <v>9413.8297674185542</v>
      </c>
      <c r="G43" s="333">
        <f t="shared" si="2"/>
        <v>26004.398570837358</v>
      </c>
      <c r="I43" s="202"/>
      <c r="J43" s="202"/>
    </row>
    <row r="44" spans="1:10" s="56" customFormat="1">
      <c r="A44" s="56">
        <f t="shared" si="3"/>
        <v>28</v>
      </c>
      <c r="B44" s="330">
        <f t="shared" si="1"/>
        <v>44469</v>
      </c>
      <c r="C44" s="337"/>
      <c r="D44" s="331">
        <f t="shared" si="5"/>
        <v>1542922.8987179466</v>
      </c>
      <c r="E44" s="331">
        <f t="shared" si="6"/>
        <v>16590.568803418802</v>
      </c>
      <c r="F44" s="331">
        <f t="shared" si="7"/>
        <v>9013.241266677338</v>
      </c>
      <c r="G44" s="333">
        <f t="shared" si="2"/>
        <v>25603.81007009614</v>
      </c>
      <c r="I44" s="202"/>
      <c r="J44" s="202"/>
    </row>
    <row r="45" spans="1:10" s="56" customFormat="1">
      <c r="A45" s="56">
        <f t="shared" si="3"/>
        <v>29</v>
      </c>
      <c r="B45" s="330">
        <f t="shared" si="1"/>
        <v>44500</v>
      </c>
      <c r="C45" s="337"/>
      <c r="D45" s="331">
        <f t="shared" si="5"/>
        <v>1526332.3299145277</v>
      </c>
      <c r="E45" s="331">
        <f t="shared" si="6"/>
        <v>16590.568803418802</v>
      </c>
      <c r="F45" s="331">
        <f t="shared" si="7"/>
        <v>9213.5355170479452</v>
      </c>
      <c r="G45" s="333">
        <f t="shared" si="2"/>
        <v>25804.104320466748</v>
      </c>
      <c r="I45" s="202"/>
      <c r="J45" s="202"/>
    </row>
    <row r="46" spans="1:10" s="56" customFormat="1">
      <c r="A46" s="56">
        <f t="shared" si="3"/>
        <v>30</v>
      </c>
      <c r="B46" s="330">
        <f t="shared" si="1"/>
        <v>44530</v>
      </c>
      <c r="C46" s="337"/>
      <c r="D46" s="331">
        <f t="shared" si="5"/>
        <v>1509741.7611111088</v>
      </c>
      <c r="E46" s="331">
        <f t="shared" si="6"/>
        <v>16590.568803418802</v>
      </c>
      <c r="F46" s="331">
        <f t="shared" si="7"/>
        <v>8819.4081211573921</v>
      </c>
      <c r="G46" s="333">
        <f t="shared" si="2"/>
        <v>25409.976924576193</v>
      </c>
      <c r="I46" s="202"/>
      <c r="J46" s="202"/>
    </row>
    <row r="47" spans="1:10" s="56" customFormat="1">
      <c r="A47" s="56">
        <f t="shared" si="3"/>
        <v>31</v>
      </c>
      <c r="B47" s="334">
        <f t="shared" si="1"/>
        <v>44561</v>
      </c>
      <c r="C47" s="338"/>
      <c r="D47" s="335">
        <f t="shared" si="5"/>
        <v>1493151.1923076899</v>
      </c>
      <c r="E47" s="335">
        <f t="shared" si="6"/>
        <v>16590.568803418802</v>
      </c>
      <c r="F47" s="335">
        <f t="shared" si="7"/>
        <v>9013.2412666773362</v>
      </c>
      <c r="G47" s="336">
        <f t="shared" si="2"/>
        <v>25603.810070096137</v>
      </c>
      <c r="I47" s="202">
        <f>SUM(E36:E47)</f>
        <v>199086.82564102564</v>
      </c>
      <c r="J47" s="202">
        <f>SUM(F36:F47)</f>
        <v>112578.29091798277</v>
      </c>
    </row>
    <row r="48" spans="1:10" s="56" customFormat="1">
      <c r="A48" s="56">
        <f t="shared" si="3"/>
        <v>32</v>
      </c>
      <c r="B48" s="330">
        <f t="shared" si="1"/>
        <v>44592</v>
      </c>
      <c r="C48" s="337"/>
      <c r="D48" s="331">
        <f t="shared" si="5"/>
        <v>1476560.623504271</v>
      </c>
      <c r="E48" s="331">
        <f t="shared" si="6"/>
        <v>16590.568803418802</v>
      </c>
      <c r="F48" s="331">
        <f t="shared" si="7"/>
        <v>8913.0941414920308</v>
      </c>
      <c r="G48" s="333">
        <f t="shared" si="2"/>
        <v>25503.662944910833</v>
      </c>
      <c r="I48" s="202"/>
      <c r="J48" s="202"/>
    </row>
    <row r="49" spans="1:10" s="56" customFormat="1">
      <c r="A49" s="56">
        <f t="shared" si="3"/>
        <v>33</v>
      </c>
      <c r="B49" s="330">
        <f t="shared" si="1"/>
        <v>44620</v>
      </c>
      <c r="C49" s="337"/>
      <c r="D49" s="331">
        <f t="shared" si="5"/>
        <v>1459970.0547008521</v>
      </c>
      <c r="E49" s="331">
        <f t="shared" si="6"/>
        <v>16590.568803418802</v>
      </c>
      <c r="F49" s="331">
        <f t="shared" si="7"/>
        <v>7960.0811760189799</v>
      </c>
      <c r="G49" s="333">
        <f t="shared" si="2"/>
        <v>24550.649979437781</v>
      </c>
      <c r="I49" s="202"/>
      <c r="J49" s="202"/>
    </row>
    <row r="50" spans="1:10" s="56" customFormat="1">
      <c r="A50" s="56">
        <f t="shared" si="3"/>
        <v>34</v>
      </c>
      <c r="B50" s="330">
        <f t="shared" si="1"/>
        <v>44651</v>
      </c>
      <c r="C50" s="337"/>
      <c r="D50" s="331">
        <f t="shared" si="5"/>
        <v>1443379.4858974332</v>
      </c>
      <c r="E50" s="331">
        <f t="shared" si="6"/>
        <v>16590.568803418802</v>
      </c>
      <c r="F50" s="331">
        <f t="shared" si="7"/>
        <v>8712.7998911214218</v>
      </c>
      <c r="G50" s="333">
        <f t="shared" si="2"/>
        <v>25303.368694540222</v>
      </c>
      <c r="I50" s="202"/>
      <c r="J50" s="202"/>
    </row>
    <row r="51" spans="1:10" s="56" customFormat="1">
      <c r="A51" s="56">
        <f t="shared" si="3"/>
        <v>35</v>
      </c>
      <c r="B51" s="330">
        <f t="shared" si="1"/>
        <v>44681</v>
      </c>
      <c r="C51" s="337"/>
      <c r="D51" s="331">
        <f t="shared" si="5"/>
        <v>1426788.9170940144</v>
      </c>
      <c r="E51" s="331">
        <f t="shared" si="6"/>
        <v>16590.568803418802</v>
      </c>
      <c r="F51" s="331">
        <f t="shared" si="7"/>
        <v>8334.8252573575337</v>
      </c>
      <c r="G51" s="333">
        <f t="shared" si="2"/>
        <v>24925.394060776336</v>
      </c>
      <c r="I51" s="202"/>
      <c r="J51" s="202"/>
    </row>
    <row r="52" spans="1:10" s="56" customFormat="1">
      <c r="A52" s="56">
        <f t="shared" si="3"/>
        <v>36</v>
      </c>
      <c r="B52" s="330">
        <f t="shared" si="1"/>
        <v>44712</v>
      </c>
      <c r="C52" s="337"/>
      <c r="D52" s="331">
        <f t="shared" si="5"/>
        <v>1410198.3482905955</v>
      </c>
      <c r="E52" s="331">
        <f t="shared" si="6"/>
        <v>16590.568803418802</v>
      </c>
      <c r="F52" s="331">
        <f t="shared" si="7"/>
        <v>8512.5056407508146</v>
      </c>
      <c r="G52" s="333">
        <f t="shared" si="2"/>
        <v>25103.074444169615</v>
      </c>
      <c r="I52" s="202"/>
      <c r="J52" s="202"/>
    </row>
    <row r="53" spans="1:10" s="56" customFormat="1">
      <c r="A53" s="56">
        <f t="shared" si="3"/>
        <v>37</v>
      </c>
      <c r="B53" s="330">
        <f t="shared" si="1"/>
        <v>44742</v>
      </c>
      <c r="C53" s="337"/>
      <c r="D53" s="331">
        <f t="shared" si="5"/>
        <v>1393607.7794871766</v>
      </c>
      <c r="E53" s="331">
        <f t="shared" si="6"/>
        <v>16590.568803418802</v>
      </c>
      <c r="F53" s="331">
        <f t="shared" si="7"/>
        <v>8140.9921118375887</v>
      </c>
      <c r="G53" s="333">
        <f t="shared" si="2"/>
        <v>24731.560915256392</v>
      </c>
      <c r="I53" s="202"/>
      <c r="J53" s="202"/>
    </row>
    <row r="54" spans="1:10" s="56" customFormat="1">
      <c r="A54" s="56">
        <f t="shared" si="3"/>
        <v>38</v>
      </c>
      <c r="B54" s="330">
        <f t="shared" si="1"/>
        <v>44773</v>
      </c>
      <c r="C54" s="337"/>
      <c r="D54" s="331">
        <f t="shared" si="5"/>
        <v>1377017.2106837577</v>
      </c>
      <c r="E54" s="331">
        <f t="shared" si="6"/>
        <v>16590.568803418802</v>
      </c>
      <c r="F54" s="331">
        <f t="shared" si="7"/>
        <v>8312.2113903802037</v>
      </c>
      <c r="G54" s="333">
        <f t="shared" si="2"/>
        <v>24902.780193799008</v>
      </c>
      <c r="I54" s="202"/>
      <c r="J54" s="202"/>
    </row>
    <row r="55" spans="1:10" s="56" customFormat="1">
      <c r="A55" s="56">
        <f t="shared" si="3"/>
        <v>39</v>
      </c>
      <c r="B55" s="330">
        <f t="shared" si="1"/>
        <v>44804</v>
      </c>
      <c r="C55" s="337"/>
      <c r="D55" s="331">
        <f t="shared" si="5"/>
        <v>1360426.6418803388</v>
      </c>
      <c r="E55" s="331">
        <f t="shared" si="6"/>
        <v>16590.568803418802</v>
      </c>
      <c r="F55" s="331">
        <f t="shared" si="7"/>
        <v>8212.0642651949001</v>
      </c>
      <c r="G55" s="333">
        <f t="shared" si="2"/>
        <v>24802.633068613701</v>
      </c>
      <c r="I55" s="202"/>
      <c r="J55" s="202"/>
    </row>
    <row r="56" spans="1:10" s="56" customFormat="1">
      <c r="A56" s="56">
        <f t="shared" si="3"/>
        <v>40</v>
      </c>
      <c r="B56" s="330">
        <f t="shared" si="1"/>
        <v>44834</v>
      </c>
      <c r="C56" s="337"/>
      <c r="D56" s="331">
        <f t="shared" si="5"/>
        <v>1343836.0730769199</v>
      </c>
      <c r="E56" s="331">
        <f t="shared" si="6"/>
        <v>16590.568803418802</v>
      </c>
      <c r="F56" s="331">
        <f t="shared" si="7"/>
        <v>7850.2423935576726</v>
      </c>
      <c r="G56" s="333">
        <f t="shared" si="2"/>
        <v>24440.811196976476</v>
      </c>
      <c r="I56" s="202"/>
      <c r="J56" s="202"/>
    </row>
    <row r="57" spans="1:10" s="56" customFormat="1">
      <c r="A57" s="56">
        <f t="shared" si="3"/>
        <v>41</v>
      </c>
      <c r="B57" s="330">
        <f t="shared" si="1"/>
        <v>44865</v>
      </c>
      <c r="C57" s="337"/>
      <c r="D57" s="331">
        <f t="shared" si="5"/>
        <v>1327245.504273501</v>
      </c>
      <c r="E57" s="331">
        <f t="shared" si="6"/>
        <v>16590.568803418802</v>
      </c>
      <c r="F57" s="331">
        <f t="shared" si="7"/>
        <v>8011.7700148242902</v>
      </c>
      <c r="G57" s="333">
        <f t="shared" si="2"/>
        <v>24602.338818243094</v>
      </c>
      <c r="I57" s="202"/>
      <c r="J57" s="202"/>
    </row>
    <row r="58" spans="1:10" s="56" customFormat="1">
      <c r="A58" s="56">
        <f t="shared" si="3"/>
        <v>42</v>
      </c>
      <c r="B58" s="330">
        <f t="shared" si="1"/>
        <v>44895</v>
      </c>
      <c r="C58" s="337"/>
      <c r="D58" s="331">
        <f t="shared" si="5"/>
        <v>1310654.9354700821</v>
      </c>
      <c r="E58" s="331">
        <f t="shared" si="6"/>
        <v>16590.568803418802</v>
      </c>
      <c r="F58" s="331">
        <f t="shared" si="7"/>
        <v>7656.4092480377294</v>
      </c>
      <c r="G58" s="333">
        <f t="shared" si="2"/>
        <v>24246.978051456532</v>
      </c>
      <c r="I58" s="202"/>
      <c r="J58" s="202"/>
    </row>
    <row r="59" spans="1:10" s="56" customFormat="1">
      <c r="A59" s="56">
        <f t="shared" si="3"/>
        <v>43</v>
      </c>
      <c r="B59" s="334">
        <f t="shared" si="1"/>
        <v>44926</v>
      </c>
      <c r="C59" s="338"/>
      <c r="D59" s="335">
        <f t="shared" si="5"/>
        <v>1294064.3666666632</v>
      </c>
      <c r="E59" s="335">
        <f t="shared" si="6"/>
        <v>16590.568803418802</v>
      </c>
      <c r="F59" s="335">
        <f t="shared" si="7"/>
        <v>7811.475764453683</v>
      </c>
      <c r="G59" s="336">
        <f t="shared" si="2"/>
        <v>24402.044567872486</v>
      </c>
      <c r="I59" s="202">
        <f>SUM(E48:E59)</f>
        <v>199086.82564102564</v>
      </c>
      <c r="J59" s="202">
        <f>SUM(F48:F59)</f>
        <v>98428.471295026829</v>
      </c>
    </row>
    <row r="60" spans="1:10" s="56" customFormat="1">
      <c r="A60" s="56">
        <f t="shared" si="3"/>
        <v>44</v>
      </c>
      <c r="B60" s="330">
        <f t="shared" si="1"/>
        <v>44957</v>
      </c>
      <c r="C60" s="337"/>
      <c r="D60" s="331">
        <f t="shared" si="5"/>
        <v>1277473.7978632443</v>
      </c>
      <c r="E60" s="331">
        <f t="shared" si="6"/>
        <v>16590.568803418802</v>
      </c>
      <c r="F60" s="331">
        <f t="shared" si="7"/>
        <v>7711.3286392683767</v>
      </c>
      <c r="G60" s="333">
        <f t="shared" si="2"/>
        <v>24301.897442687179</v>
      </c>
      <c r="I60" s="202"/>
      <c r="J60" s="202"/>
    </row>
    <row r="61" spans="1:10" s="56" customFormat="1">
      <c r="A61" s="56">
        <f t="shared" si="3"/>
        <v>45</v>
      </c>
      <c r="B61" s="330">
        <f t="shared" si="1"/>
        <v>44985</v>
      </c>
      <c r="C61" s="337"/>
      <c r="D61" s="331">
        <f t="shared" si="5"/>
        <v>1260883.2290598254</v>
      </c>
      <c r="E61" s="331">
        <f t="shared" si="6"/>
        <v>16590.568803418802</v>
      </c>
      <c r="F61" s="331">
        <f t="shared" si="7"/>
        <v>6874.6155611072927</v>
      </c>
      <c r="G61" s="333">
        <f t="shared" si="2"/>
        <v>23465.184364526096</v>
      </c>
      <c r="I61" s="202"/>
      <c r="J61" s="202"/>
    </row>
    <row r="62" spans="1:10" s="56" customFormat="1">
      <c r="A62" s="56">
        <f t="shared" si="3"/>
        <v>46</v>
      </c>
      <c r="B62" s="330">
        <f t="shared" si="1"/>
        <v>45016</v>
      </c>
      <c r="C62" s="337"/>
      <c r="D62" s="331">
        <f t="shared" si="5"/>
        <v>1244292.6602564065</v>
      </c>
      <c r="E62" s="331">
        <f t="shared" si="6"/>
        <v>16590.568803418802</v>
      </c>
      <c r="F62" s="331">
        <f t="shared" si="7"/>
        <v>7511.0343888977686</v>
      </c>
      <c r="G62" s="333">
        <f t="shared" si="2"/>
        <v>24101.603192316572</v>
      </c>
      <c r="I62" s="202"/>
      <c r="J62" s="202"/>
    </row>
    <row r="63" spans="1:10" s="56" customFormat="1">
      <c r="A63" s="56">
        <f t="shared" si="3"/>
        <v>47</v>
      </c>
      <c r="B63" s="330">
        <f t="shared" si="1"/>
        <v>45046</v>
      </c>
      <c r="C63" s="337"/>
      <c r="D63" s="331">
        <f t="shared" si="5"/>
        <v>1227702.0914529876</v>
      </c>
      <c r="E63" s="331">
        <f t="shared" si="6"/>
        <v>16590.568803418802</v>
      </c>
      <c r="F63" s="331">
        <f t="shared" si="7"/>
        <v>7171.8263842378692</v>
      </c>
      <c r="G63" s="333">
        <f t="shared" si="2"/>
        <v>23762.395187656672</v>
      </c>
      <c r="I63" s="202"/>
      <c r="J63" s="202"/>
    </row>
    <row r="64" spans="1:10" s="56" customFormat="1">
      <c r="A64" s="56">
        <f t="shared" si="3"/>
        <v>48</v>
      </c>
      <c r="B64" s="330">
        <f t="shared" si="1"/>
        <v>45077</v>
      </c>
      <c r="C64" s="337"/>
      <c r="D64" s="331">
        <f t="shared" si="5"/>
        <v>1211111.5226495687</v>
      </c>
      <c r="E64" s="331">
        <f t="shared" si="6"/>
        <v>16590.568803418802</v>
      </c>
      <c r="F64" s="331">
        <f t="shared" si="7"/>
        <v>7310.7401385271596</v>
      </c>
      <c r="G64" s="333">
        <f t="shared" si="2"/>
        <v>23901.308941945961</v>
      </c>
      <c r="I64" s="202"/>
      <c r="J64" s="202"/>
    </row>
    <row r="65" spans="1:10" s="56" customFormat="1">
      <c r="A65" s="56">
        <f t="shared" si="3"/>
        <v>49</v>
      </c>
      <c r="B65" s="330">
        <f t="shared" si="1"/>
        <v>45107</v>
      </c>
      <c r="C65" s="337"/>
      <c r="D65" s="331">
        <f t="shared" si="5"/>
        <v>1194520.9538461498</v>
      </c>
      <c r="E65" s="331">
        <f t="shared" si="6"/>
        <v>16590.568803418802</v>
      </c>
      <c r="F65" s="331">
        <f t="shared" si="7"/>
        <v>6977.9932387179251</v>
      </c>
      <c r="G65" s="333">
        <f t="shared" si="2"/>
        <v>23568.562042136728</v>
      </c>
      <c r="I65" s="202"/>
      <c r="J65" s="202"/>
    </row>
    <row r="66" spans="1:10" s="56" customFormat="1">
      <c r="A66" s="56">
        <f t="shared" si="3"/>
        <v>50</v>
      </c>
      <c r="B66" s="330">
        <f t="shared" si="1"/>
        <v>45138</v>
      </c>
      <c r="C66" s="337"/>
      <c r="D66" s="331">
        <f t="shared" si="5"/>
        <v>1177930.385042731</v>
      </c>
      <c r="E66" s="331">
        <f t="shared" si="6"/>
        <v>16590.568803418802</v>
      </c>
      <c r="F66" s="331">
        <f t="shared" si="7"/>
        <v>7110.4458881565515</v>
      </c>
      <c r="G66" s="333">
        <f t="shared" si="2"/>
        <v>23701.014691575354</v>
      </c>
      <c r="I66" s="202"/>
      <c r="J66" s="202"/>
    </row>
    <row r="67" spans="1:10" s="56" customFormat="1">
      <c r="A67" s="56">
        <f t="shared" si="3"/>
        <v>51</v>
      </c>
      <c r="B67" s="330">
        <f t="shared" si="1"/>
        <v>45169</v>
      </c>
      <c r="C67" s="337"/>
      <c r="D67" s="331">
        <f t="shared" si="5"/>
        <v>1161339.8162393121</v>
      </c>
      <c r="E67" s="331">
        <f t="shared" si="6"/>
        <v>16590.568803418802</v>
      </c>
      <c r="F67" s="331">
        <f t="shared" si="7"/>
        <v>7010.298762971247</v>
      </c>
      <c r="G67" s="333">
        <f t="shared" si="2"/>
        <v>23600.86756639005</v>
      </c>
      <c r="I67" s="202"/>
      <c r="J67" s="202"/>
    </row>
    <row r="68" spans="1:10" s="56" customFormat="1">
      <c r="A68" s="56">
        <f t="shared" si="3"/>
        <v>52</v>
      </c>
      <c r="B68" s="330">
        <f t="shared" si="1"/>
        <v>45199</v>
      </c>
      <c r="C68" s="337"/>
      <c r="D68" s="331">
        <f t="shared" si="5"/>
        <v>1144749.2474358932</v>
      </c>
      <c r="E68" s="331">
        <f t="shared" si="6"/>
        <v>16590.568803418802</v>
      </c>
      <c r="F68" s="331">
        <f t="shared" si="7"/>
        <v>6687.243520438009</v>
      </c>
      <c r="G68" s="333">
        <f t="shared" si="2"/>
        <v>23277.812323856811</v>
      </c>
      <c r="I68" s="202"/>
      <c r="J68" s="202"/>
    </row>
    <row r="69" spans="1:10" s="56" customFormat="1">
      <c r="A69" s="56">
        <f t="shared" si="3"/>
        <v>53</v>
      </c>
      <c r="B69" s="330">
        <f t="shared" si="1"/>
        <v>45230</v>
      </c>
      <c r="C69" s="337"/>
      <c r="D69" s="331">
        <f t="shared" si="5"/>
        <v>1128158.6786324743</v>
      </c>
      <c r="E69" s="331">
        <f t="shared" si="6"/>
        <v>16590.568803418802</v>
      </c>
      <c r="F69" s="331">
        <f t="shared" si="7"/>
        <v>6810.004512600638</v>
      </c>
      <c r="G69" s="333">
        <f t="shared" si="2"/>
        <v>23400.57331601944</v>
      </c>
      <c r="I69" s="202"/>
      <c r="J69" s="202"/>
    </row>
    <row r="70" spans="1:10" s="56" customFormat="1">
      <c r="A70" s="56">
        <f t="shared" si="3"/>
        <v>54</v>
      </c>
      <c r="B70" s="330">
        <f t="shared" si="1"/>
        <v>45260</v>
      </c>
      <c r="C70" s="337"/>
      <c r="D70" s="331">
        <f t="shared" si="5"/>
        <v>1111568.1098290554</v>
      </c>
      <c r="E70" s="331">
        <f t="shared" si="6"/>
        <v>16590.568803418802</v>
      </c>
      <c r="F70" s="331">
        <f t="shared" si="7"/>
        <v>6493.4103749180649</v>
      </c>
      <c r="G70" s="333">
        <f t="shared" si="2"/>
        <v>23083.979178336867</v>
      </c>
      <c r="I70" s="202"/>
      <c r="J70" s="202"/>
    </row>
    <row r="71" spans="1:10" s="56" customFormat="1">
      <c r="A71" s="56">
        <f t="shared" si="3"/>
        <v>55</v>
      </c>
      <c r="B71" s="334">
        <f t="shared" si="1"/>
        <v>45291</v>
      </c>
      <c r="C71" s="338"/>
      <c r="D71" s="335">
        <f t="shared" si="5"/>
        <v>1094977.5410256365</v>
      </c>
      <c r="E71" s="335">
        <f t="shared" si="6"/>
        <v>16590.568803418802</v>
      </c>
      <c r="F71" s="335">
        <f t="shared" si="7"/>
        <v>6609.7102622300281</v>
      </c>
      <c r="G71" s="336">
        <f t="shared" si="2"/>
        <v>23200.279065648829</v>
      </c>
      <c r="I71" s="202">
        <f>SUM(E60:E71)</f>
        <v>199086.82564102564</v>
      </c>
      <c r="J71" s="202">
        <f>SUM(F60:F71)</f>
        <v>84278.651672070933</v>
      </c>
    </row>
    <row r="72" spans="1:10" s="56" customFormat="1">
      <c r="A72" s="56">
        <f t="shared" si="3"/>
        <v>56</v>
      </c>
      <c r="B72" s="330">
        <f t="shared" si="1"/>
        <v>45322</v>
      </c>
      <c r="C72" s="337"/>
      <c r="D72" s="331">
        <f t="shared" si="5"/>
        <v>1078386.9722222176</v>
      </c>
      <c r="E72" s="331">
        <f t="shared" si="6"/>
        <v>16590.568803418802</v>
      </c>
      <c r="F72" s="331">
        <f t="shared" si="7"/>
        <v>6509.5631370447254</v>
      </c>
      <c r="G72" s="333">
        <f t="shared" si="2"/>
        <v>23100.131940463529</v>
      </c>
      <c r="I72" s="202"/>
      <c r="J72" s="202"/>
    </row>
    <row r="73" spans="1:10" s="56" customFormat="1">
      <c r="A73" s="56">
        <f t="shared" si="3"/>
        <v>57</v>
      </c>
      <c r="B73" s="330">
        <f t="shared" si="1"/>
        <v>45351</v>
      </c>
      <c r="C73" s="337"/>
      <c r="D73" s="331">
        <f t="shared" si="5"/>
        <v>1061796.4034187987</v>
      </c>
      <c r="E73" s="331">
        <f t="shared" si="6"/>
        <v>16590.568803418802</v>
      </c>
      <c r="F73" s="331">
        <f t="shared" si="7"/>
        <v>5995.9053014168758</v>
      </c>
      <c r="G73" s="333">
        <f t="shared" si="2"/>
        <v>22586.474104835677</v>
      </c>
      <c r="I73" s="202"/>
      <c r="J73" s="202"/>
    </row>
    <row r="74" spans="1:10" s="56" customFormat="1">
      <c r="A74" s="56">
        <f t="shared" si="3"/>
        <v>58</v>
      </c>
      <c r="B74" s="330">
        <f t="shared" si="1"/>
        <v>45382</v>
      </c>
      <c r="C74" s="337"/>
      <c r="D74" s="331">
        <f t="shared" si="5"/>
        <v>1045205.8346153799</v>
      </c>
      <c r="E74" s="331">
        <f t="shared" si="6"/>
        <v>16590.568803418802</v>
      </c>
      <c r="F74" s="331">
        <f t="shared" si="7"/>
        <v>6309.2688866741164</v>
      </c>
      <c r="G74" s="333">
        <f t="shared" si="2"/>
        <v>22899.837690092918</v>
      </c>
      <c r="I74" s="202"/>
      <c r="J74" s="202"/>
    </row>
    <row r="75" spans="1:10" s="56" customFormat="1">
      <c r="A75" s="56">
        <f t="shared" si="3"/>
        <v>59</v>
      </c>
      <c r="B75" s="330">
        <f t="shared" si="1"/>
        <v>45412</v>
      </c>
      <c r="C75" s="337"/>
      <c r="D75" s="331">
        <f t="shared" si="5"/>
        <v>1028615.2658119611</v>
      </c>
      <c r="E75" s="331">
        <f t="shared" si="6"/>
        <v>16590.568803418802</v>
      </c>
      <c r="F75" s="331">
        <f t="shared" si="7"/>
        <v>6008.8275111182065</v>
      </c>
      <c r="G75" s="333">
        <f t="shared" si="2"/>
        <v>22599.396314537007</v>
      </c>
      <c r="I75" s="202"/>
      <c r="J75" s="202"/>
    </row>
    <row r="76" spans="1:10" s="56" customFormat="1">
      <c r="A76" s="56">
        <f t="shared" si="3"/>
        <v>60</v>
      </c>
      <c r="B76" s="330">
        <f t="shared" si="1"/>
        <v>45443</v>
      </c>
      <c r="C76" s="337"/>
      <c r="D76" s="331">
        <f t="shared" si="5"/>
        <v>1012024.6970085424</v>
      </c>
      <c r="E76" s="331">
        <f t="shared" si="6"/>
        <v>16590.568803418802</v>
      </c>
      <c r="F76" s="331">
        <f t="shared" si="7"/>
        <v>6108.9746363035092</v>
      </c>
      <c r="G76" s="333">
        <f t="shared" si="2"/>
        <v>22699.543439722311</v>
      </c>
      <c r="I76" s="202"/>
      <c r="J76" s="202"/>
    </row>
    <row r="77" spans="1:10" s="56" customFormat="1">
      <c r="A77" s="56">
        <f t="shared" si="3"/>
        <v>61</v>
      </c>
      <c r="B77" s="330">
        <f t="shared" si="1"/>
        <v>45473</v>
      </c>
      <c r="C77" s="337"/>
      <c r="D77" s="331">
        <f t="shared" si="5"/>
        <v>995434.12820512359</v>
      </c>
      <c r="E77" s="331">
        <f t="shared" si="6"/>
        <v>16590.568803418802</v>
      </c>
      <c r="F77" s="331">
        <f t="shared" si="7"/>
        <v>5814.9943655982634</v>
      </c>
      <c r="G77" s="333">
        <f t="shared" si="2"/>
        <v>22405.563169017067</v>
      </c>
      <c r="I77" s="202"/>
      <c r="J77" s="202"/>
    </row>
    <row r="78" spans="1:10" s="56" customFormat="1">
      <c r="A78" s="56">
        <f t="shared" si="3"/>
        <v>62</v>
      </c>
      <c r="B78" s="330">
        <f t="shared" ref="B78:B136" si="8">EOMONTH(B77,1)</f>
        <v>45504</v>
      </c>
      <c r="C78" s="337"/>
      <c r="D78" s="331">
        <f t="shared" si="5"/>
        <v>978843.55940170481</v>
      </c>
      <c r="E78" s="331">
        <f t="shared" si="6"/>
        <v>16590.568803418802</v>
      </c>
      <c r="F78" s="331">
        <f t="shared" si="7"/>
        <v>5908.680385932902</v>
      </c>
      <c r="G78" s="333">
        <f t="shared" si="2"/>
        <v>22499.249189351704</v>
      </c>
      <c r="I78" s="202"/>
      <c r="J78" s="202"/>
    </row>
    <row r="79" spans="1:10" s="56" customFormat="1">
      <c r="A79" s="56">
        <f t="shared" si="3"/>
        <v>63</v>
      </c>
      <c r="B79" s="330">
        <f t="shared" si="8"/>
        <v>45535</v>
      </c>
      <c r="C79" s="337"/>
      <c r="D79" s="331">
        <f t="shared" si="5"/>
        <v>962252.99059828604</v>
      </c>
      <c r="E79" s="331">
        <f t="shared" si="6"/>
        <v>16590.568803418802</v>
      </c>
      <c r="F79" s="331">
        <f t="shared" si="7"/>
        <v>5808.5332607475975</v>
      </c>
      <c r="G79" s="333">
        <f t="shared" si="2"/>
        <v>22399.1020641664</v>
      </c>
      <c r="I79" s="202"/>
      <c r="J79" s="202"/>
    </row>
    <row r="80" spans="1:10" s="56" customFormat="1">
      <c r="A80" s="56">
        <f t="shared" si="3"/>
        <v>64</v>
      </c>
      <c r="B80" s="330">
        <f t="shared" si="8"/>
        <v>45565</v>
      </c>
      <c r="C80" s="337"/>
      <c r="D80" s="331">
        <f t="shared" si="5"/>
        <v>945662.42179486726</v>
      </c>
      <c r="E80" s="331">
        <f t="shared" si="6"/>
        <v>16590.568803418802</v>
      </c>
      <c r="F80" s="331">
        <f t="shared" si="7"/>
        <v>5524.2446473183491</v>
      </c>
      <c r="G80" s="333">
        <f t="shared" si="2"/>
        <v>22114.813450737151</v>
      </c>
      <c r="I80" s="202"/>
      <c r="J80" s="202"/>
    </row>
    <row r="81" spans="1:10" s="56" customFormat="1">
      <c r="A81" s="56">
        <f t="shared" si="3"/>
        <v>65</v>
      </c>
      <c r="B81" s="330">
        <f t="shared" si="8"/>
        <v>45596</v>
      </c>
      <c r="C81" s="337"/>
      <c r="D81" s="331">
        <f t="shared" si="5"/>
        <v>929071.85299144848</v>
      </c>
      <c r="E81" s="331">
        <f t="shared" si="6"/>
        <v>16590.568803418802</v>
      </c>
      <c r="F81" s="331">
        <f t="shared" si="7"/>
        <v>5608.2390103769912</v>
      </c>
      <c r="G81" s="333">
        <f t="shared" ref="G81:G136" si="9">E81+F81</f>
        <v>22198.807813795793</v>
      </c>
      <c r="I81" s="202"/>
      <c r="J81" s="202"/>
    </row>
    <row r="82" spans="1:10" s="56" customFormat="1">
      <c r="A82" s="56">
        <f t="shared" ref="A82:A136" si="10">A81+1</f>
        <v>66</v>
      </c>
      <c r="B82" s="330">
        <f t="shared" si="8"/>
        <v>45626</v>
      </c>
      <c r="C82" s="337"/>
      <c r="D82" s="331">
        <f t="shared" si="5"/>
        <v>912481.28418802971</v>
      </c>
      <c r="E82" s="331">
        <f t="shared" si="6"/>
        <v>16590.568803418802</v>
      </c>
      <c r="F82" s="331">
        <f t="shared" si="7"/>
        <v>5330.4115017984059</v>
      </c>
      <c r="G82" s="333">
        <f t="shared" si="9"/>
        <v>21920.980305217206</v>
      </c>
      <c r="I82" s="202"/>
      <c r="J82" s="202"/>
    </row>
    <row r="83" spans="1:10" s="56" customFormat="1">
      <c r="A83" s="56">
        <f t="shared" si="10"/>
        <v>67</v>
      </c>
      <c r="B83" s="334">
        <f t="shared" si="8"/>
        <v>45657</v>
      </c>
      <c r="C83" s="338"/>
      <c r="D83" s="335">
        <f t="shared" si="5"/>
        <v>895890.71538461093</v>
      </c>
      <c r="E83" s="335">
        <f t="shared" si="6"/>
        <v>16590.568803418802</v>
      </c>
      <c r="F83" s="335">
        <f t="shared" si="7"/>
        <v>5407.9447600063831</v>
      </c>
      <c r="G83" s="336">
        <f t="shared" si="9"/>
        <v>21998.513563425186</v>
      </c>
      <c r="I83" s="202">
        <f>SUM(E72:E83)</f>
        <v>199086.82564102564</v>
      </c>
      <c r="J83" s="202">
        <f>SUM(F72:F83)</f>
        <v>70335.587404336329</v>
      </c>
    </row>
    <row r="84" spans="1:10" s="56" customFormat="1">
      <c r="A84" s="56">
        <f t="shared" si="10"/>
        <v>68</v>
      </c>
      <c r="B84" s="330">
        <f t="shared" si="8"/>
        <v>45688</v>
      </c>
      <c r="C84" s="337"/>
      <c r="D84" s="331">
        <f t="shared" si="5"/>
        <v>879300.14658119215</v>
      </c>
      <c r="E84" s="331">
        <f t="shared" si="6"/>
        <v>16590.568803418802</v>
      </c>
      <c r="F84" s="331">
        <f t="shared" si="7"/>
        <v>5307.7976348210796</v>
      </c>
      <c r="G84" s="333">
        <f t="shared" si="9"/>
        <v>21898.366438239882</v>
      </c>
      <c r="I84" s="202"/>
      <c r="J84" s="202"/>
    </row>
    <row r="85" spans="1:10" s="56" customFormat="1">
      <c r="A85" s="56">
        <f t="shared" si="10"/>
        <v>69</v>
      </c>
      <c r="B85" s="330">
        <f t="shared" si="8"/>
        <v>45716</v>
      </c>
      <c r="C85" s="337"/>
      <c r="D85" s="331">
        <f t="shared" si="5"/>
        <v>862709.57777777337</v>
      </c>
      <c r="E85" s="331">
        <f t="shared" si="6"/>
        <v>16590.568803418802</v>
      </c>
      <c r="F85" s="331">
        <f t="shared" si="7"/>
        <v>4703.6843312839264</v>
      </c>
      <c r="G85" s="333">
        <f t="shared" si="9"/>
        <v>21294.253134702729</v>
      </c>
      <c r="I85" s="202"/>
      <c r="J85" s="202"/>
    </row>
    <row r="86" spans="1:10" s="56" customFormat="1">
      <c r="A86" s="56">
        <f t="shared" si="10"/>
        <v>70</v>
      </c>
      <c r="B86" s="330">
        <f t="shared" si="8"/>
        <v>45747</v>
      </c>
      <c r="C86" s="337"/>
      <c r="D86" s="331">
        <f t="shared" ref="D86:D136" si="11">D85-E85</f>
        <v>846119.0089743546</v>
      </c>
      <c r="E86" s="331">
        <f t="shared" ref="E86:E136" si="12">E85</f>
        <v>16590.568803418802</v>
      </c>
      <c r="F86" s="331">
        <f t="shared" si="7"/>
        <v>5107.5033844504715</v>
      </c>
      <c r="G86" s="333">
        <f t="shared" si="9"/>
        <v>21698.072187869275</v>
      </c>
      <c r="I86" s="202"/>
      <c r="J86" s="202"/>
    </row>
    <row r="87" spans="1:10" s="56" customFormat="1">
      <c r="A87" s="56">
        <f t="shared" si="10"/>
        <v>71</v>
      </c>
      <c r="B87" s="330">
        <f t="shared" si="8"/>
        <v>45777</v>
      </c>
      <c r="C87" s="337"/>
      <c r="D87" s="331">
        <f t="shared" si="11"/>
        <v>829528.44017093582</v>
      </c>
      <c r="E87" s="331">
        <f t="shared" si="12"/>
        <v>16590.568803418802</v>
      </c>
      <c r="F87" s="331">
        <f t="shared" si="7"/>
        <v>4845.8286379985502</v>
      </c>
      <c r="G87" s="333">
        <f t="shared" si="9"/>
        <v>21436.397441417354</v>
      </c>
      <c r="I87" s="202"/>
      <c r="J87" s="202"/>
    </row>
    <row r="88" spans="1:10" s="56" customFormat="1">
      <c r="A88" s="56">
        <f t="shared" si="10"/>
        <v>72</v>
      </c>
      <c r="B88" s="330">
        <f t="shared" si="8"/>
        <v>45808</v>
      </c>
      <c r="C88" s="337"/>
      <c r="D88" s="331">
        <f t="shared" si="11"/>
        <v>812937.87136751704</v>
      </c>
      <c r="E88" s="331">
        <f t="shared" si="12"/>
        <v>16590.568803418802</v>
      </c>
      <c r="F88" s="331">
        <f t="shared" si="7"/>
        <v>4907.2091340798643</v>
      </c>
      <c r="G88" s="333">
        <f t="shared" si="9"/>
        <v>21497.777937498668</v>
      </c>
      <c r="I88" s="202"/>
      <c r="J88" s="202"/>
    </row>
    <row r="89" spans="1:10" s="56" customFormat="1">
      <c r="A89" s="56">
        <f t="shared" si="10"/>
        <v>73</v>
      </c>
      <c r="B89" s="330">
        <f t="shared" si="8"/>
        <v>45838</v>
      </c>
      <c r="C89" s="337"/>
      <c r="D89" s="331">
        <f t="shared" si="11"/>
        <v>796347.30256409827</v>
      </c>
      <c r="E89" s="331">
        <f t="shared" si="12"/>
        <v>16590.568803418802</v>
      </c>
      <c r="F89" s="331">
        <f t="shared" si="7"/>
        <v>4651.995492478608</v>
      </c>
      <c r="G89" s="333">
        <f t="shared" si="9"/>
        <v>21242.564295897409</v>
      </c>
      <c r="I89" s="202"/>
      <c r="J89" s="202"/>
    </row>
    <row r="90" spans="1:10" s="56" customFormat="1">
      <c r="A90" s="56">
        <f t="shared" si="10"/>
        <v>74</v>
      </c>
      <c r="B90" s="330">
        <f t="shared" si="8"/>
        <v>45869</v>
      </c>
      <c r="C90" s="337"/>
      <c r="D90" s="331">
        <f t="shared" si="11"/>
        <v>779756.73376067949</v>
      </c>
      <c r="E90" s="331">
        <f t="shared" si="12"/>
        <v>16590.568803418802</v>
      </c>
      <c r="F90" s="331">
        <f t="shared" si="7"/>
        <v>4706.9148837092562</v>
      </c>
      <c r="G90" s="333">
        <f t="shared" si="9"/>
        <v>21297.483687128057</v>
      </c>
      <c r="I90" s="202"/>
      <c r="J90" s="202"/>
    </row>
    <row r="91" spans="1:10" s="56" customFormat="1">
      <c r="A91" s="56">
        <f t="shared" si="10"/>
        <v>75</v>
      </c>
      <c r="B91" s="330">
        <f t="shared" si="8"/>
        <v>45900</v>
      </c>
      <c r="C91" s="337"/>
      <c r="D91" s="331">
        <f t="shared" si="11"/>
        <v>763166.16495726071</v>
      </c>
      <c r="E91" s="331">
        <f t="shared" si="12"/>
        <v>16590.568803418802</v>
      </c>
      <c r="F91" s="331">
        <f t="shared" si="7"/>
        <v>4606.7677585239526</v>
      </c>
      <c r="G91" s="333">
        <f t="shared" si="9"/>
        <v>21197.336561942757</v>
      </c>
      <c r="I91" s="202"/>
      <c r="J91" s="202"/>
    </row>
    <row r="92" spans="1:10" s="56" customFormat="1">
      <c r="A92" s="56">
        <f t="shared" si="10"/>
        <v>76</v>
      </c>
      <c r="B92" s="330">
        <f t="shared" si="8"/>
        <v>45930</v>
      </c>
      <c r="C92" s="337"/>
      <c r="D92" s="331">
        <f t="shared" si="11"/>
        <v>746575.59615384194</v>
      </c>
      <c r="E92" s="331">
        <f t="shared" si="12"/>
        <v>16590.568803418802</v>
      </c>
      <c r="F92" s="331">
        <f t="shared" si="7"/>
        <v>4361.2457741986927</v>
      </c>
      <c r="G92" s="333">
        <f t="shared" si="9"/>
        <v>20951.814577617493</v>
      </c>
      <c r="I92" s="202"/>
      <c r="J92" s="202"/>
    </row>
    <row r="93" spans="1:10" s="56" customFormat="1">
      <c r="A93" s="56">
        <f t="shared" si="10"/>
        <v>77</v>
      </c>
      <c r="B93" s="330">
        <f t="shared" si="8"/>
        <v>45961</v>
      </c>
      <c r="C93" s="337"/>
      <c r="D93" s="331">
        <f t="shared" si="11"/>
        <v>729985.02735042316</v>
      </c>
      <c r="E93" s="331">
        <f t="shared" si="12"/>
        <v>16590.568803418802</v>
      </c>
      <c r="F93" s="331">
        <f t="shared" si="7"/>
        <v>4406.4735081533463</v>
      </c>
      <c r="G93" s="333">
        <f t="shared" si="9"/>
        <v>20997.04231157215</v>
      </c>
      <c r="I93" s="202"/>
      <c r="J93" s="202"/>
    </row>
    <row r="94" spans="1:10" s="56" customFormat="1">
      <c r="A94" s="56">
        <f t="shared" si="10"/>
        <v>78</v>
      </c>
      <c r="B94" s="330">
        <f t="shared" si="8"/>
        <v>45991</v>
      </c>
      <c r="C94" s="337"/>
      <c r="D94" s="331">
        <f t="shared" si="11"/>
        <v>713394.45854700438</v>
      </c>
      <c r="E94" s="331">
        <f t="shared" si="12"/>
        <v>16590.568803418802</v>
      </c>
      <c r="F94" s="331">
        <f t="shared" si="7"/>
        <v>4167.4126286787505</v>
      </c>
      <c r="G94" s="333">
        <f t="shared" si="9"/>
        <v>20757.981432097553</v>
      </c>
      <c r="I94" s="202"/>
      <c r="J94" s="202"/>
    </row>
    <row r="95" spans="1:10" s="56" customFormat="1">
      <c r="A95" s="56">
        <f t="shared" si="10"/>
        <v>79</v>
      </c>
      <c r="B95" s="334">
        <f t="shared" si="8"/>
        <v>46022</v>
      </c>
      <c r="C95" s="338"/>
      <c r="D95" s="335">
        <f t="shared" si="11"/>
        <v>696803.88974358561</v>
      </c>
      <c r="E95" s="335">
        <f t="shared" si="12"/>
        <v>16590.568803418802</v>
      </c>
      <c r="F95" s="335">
        <f t="shared" si="7"/>
        <v>4206.1792577827382</v>
      </c>
      <c r="G95" s="336">
        <f t="shared" si="9"/>
        <v>20796.748061201542</v>
      </c>
      <c r="I95" s="202">
        <f>SUM(E84:E95)</f>
        <v>199086.82564102564</v>
      </c>
      <c r="J95" s="202">
        <f>SUM(F84:F95)</f>
        <v>55979.012426159235</v>
      </c>
    </row>
    <row r="96" spans="1:10" s="56" customFormat="1">
      <c r="A96" s="56">
        <f t="shared" si="10"/>
        <v>80</v>
      </c>
      <c r="B96" s="330">
        <f t="shared" si="8"/>
        <v>46053</v>
      </c>
      <c r="C96" s="337"/>
      <c r="D96" s="331">
        <f t="shared" si="11"/>
        <v>680213.32094016683</v>
      </c>
      <c r="E96" s="331">
        <f t="shared" si="12"/>
        <v>16590.568803418802</v>
      </c>
      <c r="F96" s="331">
        <f t="shared" si="7"/>
        <v>4106.0321325974346</v>
      </c>
      <c r="G96" s="333">
        <f t="shared" si="9"/>
        <v>20696.600936016235</v>
      </c>
      <c r="I96" s="202"/>
      <c r="J96" s="202"/>
    </row>
    <row r="97" spans="1:10" s="56" customFormat="1">
      <c r="A97" s="56">
        <f t="shared" si="10"/>
        <v>81</v>
      </c>
      <c r="B97" s="330">
        <f t="shared" si="8"/>
        <v>46081</v>
      </c>
      <c r="C97" s="337"/>
      <c r="D97" s="331">
        <f t="shared" si="11"/>
        <v>663622.75213674805</v>
      </c>
      <c r="E97" s="331">
        <f t="shared" si="12"/>
        <v>16590.568803418802</v>
      </c>
      <c r="F97" s="331">
        <f t="shared" si="7"/>
        <v>3618.2187163722469</v>
      </c>
      <c r="G97" s="333">
        <f t="shared" si="9"/>
        <v>20208.787519791051</v>
      </c>
      <c r="I97" s="202"/>
      <c r="J97" s="202"/>
    </row>
    <row r="98" spans="1:10" s="56" customFormat="1">
      <c r="A98" s="56">
        <f t="shared" si="10"/>
        <v>82</v>
      </c>
      <c r="B98" s="330">
        <f t="shared" si="8"/>
        <v>46112</v>
      </c>
      <c r="C98" s="337"/>
      <c r="D98" s="331">
        <f t="shared" si="11"/>
        <v>647032.18333332927</v>
      </c>
      <c r="E98" s="331">
        <f t="shared" si="12"/>
        <v>16590.568803418802</v>
      </c>
      <c r="F98" s="331">
        <f t="shared" si="7"/>
        <v>3905.737882226827</v>
      </c>
      <c r="G98" s="333">
        <f t="shared" si="9"/>
        <v>20496.306685645628</v>
      </c>
      <c r="I98" s="202"/>
      <c r="J98" s="202"/>
    </row>
    <row r="99" spans="1:10" s="56" customFormat="1">
      <c r="A99" s="56">
        <f t="shared" si="10"/>
        <v>83</v>
      </c>
      <c r="B99" s="330">
        <f t="shared" si="8"/>
        <v>46142</v>
      </c>
      <c r="C99" s="337"/>
      <c r="D99" s="331">
        <f t="shared" si="11"/>
        <v>630441.6145299105</v>
      </c>
      <c r="E99" s="331">
        <f t="shared" si="12"/>
        <v>16590.568803418802</v>
      </c>
      <c r="F99" s="331">
        <f t="shared" si="7"/>
        <v>3682.8297648788935</v>
      </c>
      <c r="G99" s="333">
        <f t="shared" si="9"/>
        <v>20273.398568297696</v>
      </c>
      <c r="I99" s="202"/>
      <c r="J99" s="202"/>
    </row>
    <row r="100" spans="1:10" s="56" customFormat="1">
      <c r="A100" s="56">
        <f t="shared" si="10"/>
        <v>84</v>
      </c>
      <c r="B100" s="330">
        <f t="shared" si="8"/>
        <v>46173</v>
      </c>
      <c r="C100" s="337"/>
      <c r="D100" s="331">
        <f t="shared" si="11"/>
        <v>613851.04572649172</v>
      </c>
      <c r="E100" s="331">
        <f t="shared" si="12"/>
        <v>16590.568803418802</v>
      </c>
      <c r="F100" s="331">
        <f t="shared" si="7"/>
        <v>3705.4436318562193</v>
      </c>
      <c r="G100" s="333">
        <f t="shared" si="9"/>
        <v>20296.012435275021</v>
      </c>
      <c r="I100" s="202"/>
      <c r="J100" s="202"/>
    </row>
    <row r="101" spans="1:10" s="56" customFormat="1">
      <c r="A101" s="56">
        <f t="shared" si="10"/>
        <v>85</v>
      </c>
      <c r="B101" s="330">
        <f t="shared" si="8"/>
        <v>46203</v>
      </c>
      <c r="C101" s="337"/>
      <c r="D101" s="331">
        <f t="shared" si="11"/>
        <v>597260.47692307294</v>
      </c>
      <c r="E101" s="331">
        <f t="shared" si="12"/>
        <v>16590.568803418802</v>
      </c>
      <c r="F101" s="331">
        <f t="shared" ref="F101:F136" si="13">(B101-B100)*D101*$D$4/360</f>
        <v>3488.9966193589512</v>
      </c>
      <c r="G101" s="333">
        <f t="shared" si="9"/>
        <v>20079.565422777752</v>
      </c>
      <c r="I101" s="202"/>
      <c r="J101" s="202"/>
    </row>
    <row r="102" spans="1:10" s="56" customFormat="1">
      <c r="A102" s="56">
        <f t="shared" si="10"/>
        <v>86</v>
      </c>
      <c r="B102" s="330">
        <f t="shared" si="8"/>
        <v>46234</v>
      </c>
      <c r="C102" s="337"/>
      <c r="D102" s="331">
        <f t="shared" si="11"/>
        <v>580669.90811965417</v>
      </c>
      <c r="E102" s="331">
        <f t="shared" si="12"/>
        <v>16590.568803418802</v>
      </c>
      <c r="F102" s="331">
        <f t="shared" si="13"/>
        <v>3505.1493814856126</v>
      </c>
      <c r="G102" s="333">
        <f t="shared" si="9"/>
        <v>20095.718184904414</v>
      </c>
      <c r="I102" s="202"/>
      <c r="J102" s="202"/>
    </row>
    <row r="103" spans="1:10" s="56" customFormat="1">
      <c r="A103" s="56">
        <f t="shared" si="10"/>
        <v>87</v>
      </c>
      <c r="B103" s="330">
        <f t="shared" si="8"/>
        <v>46265</v>
      </c>
      <c r="C103" s="337"/>
      <c r="D103" s="331">
        <f t="shared" si="11"/>
        <v>564079.33931623539</v>
      </c>
      <c r="E103" s="331">
        <f t="shared" si="12"/>
        <v>16590.568803418802</v>
      </c>
      <c r="F103" s="331">
        <f t="shared" si="13"/>
        <v>3405.0022563003085</v>
      </c>
      <c r="G103" s="333">
        <f t="shared" si="9"/>
        <v>19995.57105971911</v>
      </c>
      <c r="I103" s="202"/>
      <c r="J103" s="202"/>
    </row>
    <row r="104" spans="1:10" s="56" customFormat="1">
      <c r="A104" s="56">
        <f t="shared" si="10"/>
        <v>88</v>
      </c>
      <c r="B104" s="330">
        <f t="shared" si="8"/>
        <v>46295</v>
      </c>
      <c r="C104" s="337"/>
      <c r="D104" s="331">
        <f t="shared" si="11"/>
        <v>547488.77051281661</v>
      </c>
      <c r="E104" s="331">
        <f t="shared" si="12"/>
        <v>16590.568803418802</v>
      </c>
      <c r="F104" s="331">
        <f t="shared" si="13"/>
        <v>3198.2469010790369</v>
      </c>
      <c r="G104" s="333">
        <f t="shared" si="9"/>
        <v>19788.81570449784</v>
      </c>
      <c r="I104" s="202"/>
      <c r="J104" s="202"/>
    </row>
    <row r="105" spans="1:10" s="56" customFormat="1">
      <c r="A105" s="56">
        <f t="shared" si="10"/>
        <v>89</v>
      </c>
      <c r="B105" s="330">
        <f t="shared" si="8"/>
        <v>46326</v>
      </c>
      <c r="C105" s="337"/>
      <c r="D105" s="331">
        <f t="shared" si="11"/>
        <v>530898.20170939784</v>
      </c>
      <c r="E105" s="331">
        <f t="shared" si="12"/>
        <v>16590.568803418802</v>
      </c>
      <c r="F105" s="331">
        <f t="shared" si="13"/>
        <v>3204.7080059297014</v>
      </c>
      <c r="G105" s="333">
        <f t="shared" si="9"/>
        <v>19795.276809348503</v>
      </c>
      <c r="I105" s="202"/>
      <c r="J105" s="202"/>
    </row>
    <row r="106" spans="1:10" s="56" customFormat="1">
      <c r="A106" s="56">
        <f t="shared" si="10"/>
        <v>90</v>
      </c>
      <c r="B106" s="330">
        <f t="shared" si="8"/>
        <v>46356</v>
      </c>
      <c r="C106" s="337"/>
      <c r="D106" s="331">
        <f t="shared" si="11"/>
        <v>514307.63290597906</v>
      </c>
      <c r="E106" s="331">
        <f t="shared" si="12"/>
        <v>16590.568803418802</v>
      </c>
      <c r="F106" s="331">
        <f t="shared" si="13"/>
        <v>3004.4137555590942</v>
      </c>
      <c r="G106" s="333">
        <f t="shared" si="9"/>
        <v>19594.982558977896</v>
      </c>
      <c r="I106" s="202"/>
      <c r="J106" s="202"/>
    </row>
    <row r="107" spans="1:10" s="56" customFormat="1">
      <c r="A107" s="56">
        <f t="shared" si="10"/>
        <v>91</v>
      </c>
      <c r="B107" s="334">
        <f t="shared" si="8"/>
        <v>46387</v>
      </c>
      <c r="C107" s="338"/>
      <c r="D107" s="335">
        <f t="shared" si="11"/>
        <v>497717.06410256028</v>
      </c>
      <c r="E107" s="335">
        <f t="shared" si="12"/>
        <v>16590.568803418802</v>
      </c>
      <c r="F107" s="335">
        <f t="shared" si="13"/>
        <v>3004.4137555590933</v>
      </c>
      <c r="G107" s="336">
        <f t="shared" si="9"/>
        <v>19594.982558977896</v>
      </c>
      <c r="I107" s="202">
        <f>SUM(E96:E107)</f>
        <v>199086.82564102564</v>
      </c>
      <c r="J107" s="202">
        <f>SUM(F96:F107)</f>
        <v>41829.192803203419</v>
      </c>
    </row>
    <row r="108" spans="1:10" s="56" customFormat="1">
      <c r="A108" s="56">
        <f t="shared" si="10"/>
        <v>92</v>
      </c>
      <c r="B108" s="330">
        <f t="shared" si="8"/>
        <v>46418</v>
      </c>
      <c r="C108" s="337"/>
      <c r="D108" s="331">
        <f t="shared" si="11"/>
        <v>481126.4952991415</v>
      </c>
      <c r="E108" s="331">
        <f t="shared" si="12"/>
        <v>16590.568803418802</v>
      </c>
      <c r="F108" s="331">
        <f t="shared" si="13"/>
        <v>2904.2666303737897</v>
      </c>
      <c r="G108" s="333">
        <f t="shared" si="9"/>
        <v>19494.835433792592</v>
      </c>
      <c r="I108" s="202"/>
      <c r="J108" s="202"/>
    </row>
    <row r="109" spans="1:10" s="56" customFormat="1">
      <c r="A109" s="56">
        <f t="shared" si="10"/>
        <v>93</v>
      </c>
      <c r="B109" s="330">
        <f t="shared" si="8"/>
        <v>46446</v>
      </c>
      <c r="C109" s="337"/>
      <c r="D109" s="331">
        <f t="shared" si="11"/>
        <v>464535.92649572273</v>
      </c>
      <c r="E109" s="331">
        <f t="shared" si="12"/>
        <v>16590.568803418802</v>
      </c>
      <c r="F109" s="331">
        <f t="shared" si="13"/>
        <v>2532.7531014605684</v>
      </c>
      <c r="G109" s="333">
        <f t="shared" si="9"/>
        <v>19123.321904879369</v>
      </c>
      <c r="I109" s="202"/>
      <c r="J109" s="202"/>
    </row>
    <row r="110" spans="1:10" s="56" customFormat="1">
      <c r="A110" s="56">
        <f t="shared" si="10"/>
        <v>94</v>
      </c>
      <c r="B110" s="330">
        <f t="shared" si="8"/>
        <v>46477</v>
      </c>
      <c r="C110" s="337"/>
      <c r="D110" s="331">
        <f t="shared" si="11"/>
        <v>447945.35769230395</v>
      </c>
      <c r="E110" s="331">
        <f t="shared" si="12"/>
        <v>16590.568803418802</v>
      </c>
      <c r="F110" s="331">
        <f t="shared" si="13"/>
        <v>2703.9723800031825</v>
      </c>
      <c r="G110" s="333">
        <f t="shared" si="9"/>
        <v>19294.541183421985</v>
      </c>
      <c r="I110" s="202"/>
      <c r="J110" s="202"/>
    </row>
    <row r="111" spans="1:10" s="56" customFormat="1">
      <c r="A111" s="56">
        <f t="shared" si="10"/>
        <v>95</v>
      </c>
      <c r="B111" s="330">
        <f t="shared" si="8"/>
        <v>46507</v>
      </c>
      <c r="C111" s="337"/>
      <c r="D111" s="331">
        <f t="shared" si="11"/>
        <v>431354.78888888517</v>
      </c>
      <c r="E111" s="331">
        <f t="shared" si="12"/>
        <v>16590.568803418802</v>
      </c>
      <c r="F111" s="331">
        <f t="shared" si="13"/>
        <v>2519.8308917592376</v>
      </c>
      <c r="G111" s="333">
        <f t="shared" si="9"/>
        <v>19110.399695178039</v>
      </c>
      <c r="I111" s="202"/>
      <c r="J111" s="202"/>
    </row>
    <row r="112" spans="1:10" s="56" customFormat="1">
      <c r="A112" s="56">
        <f t="shared" si="10"/>
        <v>96</v>
      </c>
      <c r="B112" s="330">
        <f t="shared" si="8"/>
        <v>46538</v>
      </c>
      <c r="C112" s="337"/>
      <c r="D112" s="331">
        <f t="shared" si="11"/>
        <v>414764.2200854664</v>
      </c>
      <c r="E112" s="331">
        <f t="shared" si="12"/>
        <v>16590.568803418802</v>
      </c>
      <c r="F112" s="331">
        <f t="shared" si="13"/>
        <v>2503.6781296325748</v>
      </c>
      <c r="G112" s="333">
        <f t="shared" si="9"/>
        <v>19094.246933051378</v>
      </c>
      <c r="I112" s="202"/>
      <c r="J112" s="202"/>
    </row>
    <row r="113" spans="1:10" s="56" customFormat="1">
      <c r="A113" s="56">
        <f t="shared" si="10"/>
        <v>97</v>
      </c>
      <c r="B113" s="330">
        <f t="shared" si="8"/>
        <v>46568</v>
      </c>
      <c r="C113" s="337"/>
      <c r="D113" s="331">
        <f t="shared" si="11"/>
        <v>398173.65128204762</v>
      </c>
      <c r="E113" s="331">
        <f t="shared" si="12"/>
        <v>16590.568803418802</v>
      </c>
      <c r="F113" s="331">
        <f t="shared" si="13"/>
        <v>2325.9977462392949</v>
      </c>
      <c r="G113" s="333">
        <f t="shared" si="9"/>
        <v>18916.566549658099</v>
      </c>
      <c r="I113" s="202"/>
      <c r="J113" s="202"/>
    </row>
    <row r="114" spans="1:10" s="56" customFormat="1">
      <c r="A114" s="56">
        <f t="shared" si="10"/>
        <v>98</v>
      </c>
      <c r="B114" s="330">
        <f t="shared" si="8"/>
        <v>46599</v>
      </c>
      <c r="C114" s="337"/>
      <c r="D114" s="331">
        <f t="shared" si="11"/>
        <v>381583.08247862884</v>
      </c>
      <c r="E114" s="331">
        <f t="shared" si="12"/>
        <v>16590.568803418802</v>
      </c>
      <c r="F114" s="331">
        <f t="shared" si="13"/>
        <v>2303.3838792619672</v>
      </c>
      <c r="G114" s="333">
        <f t="shared" si="9"/>
        <v>18893.952682680771</v>
      </c>
      <c r="I114" s="202"/>
      <c r="J114" s="202"/>
    </row>
    <row r="115" spans="1:10" s="56" customFormat="1">
      <c r="A115" s="56">
        <f t="shared" si="10"/>
        <v>99</v>
      </c>
      <c r="B115" s="330">
        <f t="shared" si="8"/>
        <v>46630</v>
      </c>
      <c r="C115" s="337"/>
      <c r="D115" s="331">
        <f t="shared" si="11"/>
        <v>364992.51367521007</v>
      </c>
      <c r="E115" s="331">
        <f t="shared" si="12"/>
        <v>16590.568803418802</v>
      </c>
      <c r="F115" s="331">
        <f t="shared" si="13"/>
        <v>2203.2367540766641</v>
      </c>
      <c r="G115" s="333">
        <f t="shared" si="9"/>
        <v>18793.805557495467</v>
      </c>
      <c r="I115" s="202"/>
      <c r="J115" s="202"/>
    </row>
    <row r="116" spans="1:10" s="56" customFormat="1">
      <c r="A116" s="56">
        <f t="shared" si="10"/>
        <v>100</v>
      </c>
      <c r="B116" s="330">
        <f t="shared" si="8"/>
        <v>46660</v>
      </c>
      <c r="C116" s="337"/>
      <c r="D116" s="331">
        <f t="shared" si="11"/>
        <v>348401.94487179129</v>
      </c>
      <c r="E116" s="331">
        <f t="shared" si="12"/>
        <v>16590.568803418802</v>
      </c>
      <c r="F116" s="331">
        <f t="shared" si="13"/>
        <v>2035.2480279593806</v>
      </c>
      <c r="G116" s="333">
        <f t="shared" si="9"/>
        <v>18625.816831378183</v>
      </c>
      <c r="I116" s="202"/>
      <c r="J116" s="202"/>
    </row>
    <row r="117" spans="1:10" s="56" customFormat="1">
      <c r="A117" s="56">
        <f t="shared" si="10"/>
        <v>101</v>
      </c>
      <c r="B117" s="330">
        <f t="shared" si="8"/>
        <v>46691</v>
      </c>
      <c r="C117" s="337"/>
      <c r="D117" s="331">
        <f t="shared" si="11"/>
        <v>331811.37606837251</v>
      </c>
      <c r="E117" s="331">
        <f t="shared" si="12"/>
        <v>16590.568803418802</v>
      </c>
      <c r="F117" s="331">
        <f t="shared" si="13"/>
        <v>2002.9425037060564</v>
      </c>
      <c r="G117" s="333">
        <f t="shared" si="9"/>
        <v>18593.51130712486</v>
      </c>
      <c r="I117" s="202"/>
      <c r="J117" s="202"/>
    </row>
    <row r="118" spans="1:10" s="56" customFormat="1">
      <c r="A118" s="56">
        <f t="shared" si="10"/>
        <v>102</v>
      </c>
      <c r="B118" s="330">
        <f t="shared" si="8"/>
        <v>46721</v>
      </c>
      <c r="C118" s="337"/>
      <c r="D118" s="331">
        <f t="shared" si="11"/>
        <v>315220.80726495374</v>
      </c>
      <c r="E118" s="331">
        <f t="shared" si="12"/>
        <v>16590.568803418802</v>
      </c>
      <c r="F118" s="331">
        <f t="shared" si="13"/>
        <v>1841.4148824394381</v>
      </c>
      <c r="G118" s="333">
        <f t="shared" si="9"/>
        <v>18431.983685858242</v>
      </c>
      <c r="I118" s="202"/>
      <c r="J118" s="202"/>
    </row>
    <row r="119" spans="1:10" s="56" customFormat="1">
      <c r="A119" s="173">
        <f t="shared" si="10"/>
        <v>103</v>
      </c>
      <c r="B119" s="334">
        <f t="shared" si="8"/>
        <v>46752</v>
      </c>
      <c r="C119" s="338"/>
      <c r="D119" s="335">
        <f t="shared" si="11"/>
        <v>298630.23846153496</v>
      </c>
      <c r="E119" s="335">
        <f t="shared" si="12"/>
        <v>16590.568803418802</v>
      </c>
      <c r="F119" s="335">
        <f t="shared" si="13"/>
        <v>1802.6482533354488</v>
      </c>
      <c r="G119" s="336">
        <f t="shared" si="9"/>
        <v>18393.217056754253</v>
      </c>
      <c r="I119" s="202">
        <f>SUM(E108:E119)</f>
        <v>199086.82564102564</v>
      </c>
      <c r="J119" s="202">
        <f>SUM(F108:F119)</f>
        <v>27679.373180247607</v>
      </c>
    </row>
    <row r="120" spans="1:10" s="56" customFormat="1">
      <c r="A120" s="56">
        <f t="shared" si="10"/>
        <v>104</v>
      </c>
      <c r="B120" s="330">
        <f t="shared" si="8"/>
        <v>46783</v>
      </c>
      <c r="C120" s="337"/>
      <c r="D120" s="331">
        <f t="shared" si="11"/>
        <v>282039.66965811618</v>
      </c>
      <c r="E120" s="331">
        <f t="shared" si="12"/>
        <v>16590.568803418802</v>
      </c>
      <c r="F120" s="331">
        <f t="shared" si="13"/>
        <v>1702.501128150145</v>
      </c>
      <c r="G120" s="333">
        <f t="shared" si="9"/>
        <v>18293.069931568949</v>
      </c>
      <c r="I120" s="202"/>
      <c r="J120" s="202"/>
    </row>
    <row r="121" spans="1:10" s="56" customFormat="1">
      <c r="A121" s="56">
        <f t="shared" si="10"/>
        <v>105</v>
      </c>
      <c r="B121" s="330">
        <f t="shared" si="8"/>
        <v>46812</v>
      </c>
      <c r="C121" s="337"/>
      <c r="D121" s="331">
        <f t="shared" si="11"/>
        <v>265449.1008546974</v>
      </c>
      <c r="E121" s="331">
        <f t="shared" si="12"/>
        <v>16590.568803418802</v>
      </c>
      <c r="F121" s="331">
        <f t="shared" si="13"/>
        <v>1498.9763253542064</v>
      </c>
      <c r="G121" s="333">
        <f t="shared" si="9"/>
        <v>18089.54512877301</v>
      </c>
      <c r="I121" s="202"/>
      <c r="J121" s="202"/>
    </row>
    <row r="122" spans="1:10" s="56" customFormat="1">
      <c r="A122" s="56">
        <f t="shared" si="10"/>
        <v>106</v>
      </c>
      <c r="B122" s="330">
        <f t="shared" si="8"/>
        <v>46843</v>
      </c>
      <c r="C122" s="337"/>
      <c r="D122" s="331">
        <f t="shared" si="11"/>
        <v>248858.5320512786</v>
      </c>
      <c r="E122" s="331">
        <f t="shared" si="12"/>
        <v>16590.568803418802</v>
      </c>
      <c r="F122" s="331">
        <f t="shared" si="13"/>
        <v>1502.2068777795378</v>
      </c>
      <c r="G122" s="333">
        <f t="shared" si="9"/>
        <v>18092.775681198342</v>
      </c>
      <c r="I122" s="202"/>
      <c r="J122" s="202"/>
    </row>
    <row r="123" spans="1:10" s="56" customFormat="1">
      <c r="A123" s="56">
        <f t="shared" si="10"/>
        <v>107</v>
      </c>
      <c r="B123" s="330">
        <f t="shared" si="8"/>
        <v>46873</v>
      </c>
      <c r="C123" s="337"/>
      <c r="D123" s="331">
        <f t="shared" si="11"/>
        <v>232267.96324785979</v>
      </c>
      <c r="E123" s="331">
        <f t="shared" si="12"/>
        <v>16590.568803418802</v>
      </c>
      <c r="F123" s="331">
        <f t="shared" si="13"/>
        <v>1356.8320186395808</v>
      </c>
      <c r="G123" s="333">
        <f t="shared" si="9"/>
        <v>17947.400822058382</v>
      </c>
      <c r="I123" s="202"/>
      <c r="J123" s="202"/>
    </row>
    <row r="124" spans="1:10" s="56" customFormat="1">
      <c r="A124" s="56">
        <f t="shared" si="10"/>
        <v>108</v>
      </c>
      <c r="B124" s="330">
        <f t="shared" si="8"/>
        <v>46904</v>
      </c>
      <c r="C124" s="337"/>
      <c r="D124" s="331">
        <f t="shared" si="11"/>
        <v>215677.39444444099</v>
      </c>
      <c r="E124" s="331">
        <f t="shared" si="12"/>
        <v>16590.568803418802</v>
      </c>
      <c r="F124" s="331">
        <f t="shared" si="13"/>
        <v>1301.9126274089294</v>
      </c>
      <c r="G124" s="333">
        <f t="shared" si="9"/>
        <v>17892.481430827731</v>
      </c>
      <c r="I124" s="202"/>
      <c r="J124" s="202"/>
    </row>
    <row r="125" spans="1:10" s="56" customFormat="1">
      <c r="A125" s="56">
        <f t="shared" si="10"/>
        <v>109</v>
      </c>
      <c r="B125" s="330">
        <f t="shared" si="8"/>
        <v>46934</v>
      </c>
      <c r="C125" s="337"/>
      <c r="D125" s="331">
        <f t="shared" si="11"/>
        <v>199086.82564102218</v>
      </c>
      <c r="E125" s="331">
        <f t="shared" si="12"/>
        <v>16590.568803418802</v>
      </c>
      <c r="F125" s="331">
        <f t="shared" si="13"/>
        <v>1162.9988731196379</v>
      </c>
      <c r="G125" s="333">
        <f t="shared" si="9"/>
        <v>17753.567676538441</v>
      </c>
      <c r="I125" s="202"/>
      <c r="J125" s="202"/>
    </row>
    <row r="126" spans="1:10" s="56" customFormat="1">
      <c r="A126" s="56">
        <f t="shared" si="10"/>
        <v>110</v>
      </c>
      <c r="B126" s="330">
        <f t="shared" si="8"/>
        <v>46965</v>
      </c>
      <c r="C126" s="337"/>
      <c r="D126" s="331">
        <f t="shared" si="11"/>
        <v>182496.25683760337</v>
      </c>
      <c r="E126" s="331">
        <f t="shared" si="12"/>
        <v>16590.568803418802</v>
      </c>
      <c r="F126" s="331">
        <f t="shared" si="13"/>
        <v>1101.6183770383218</v>
      </c>
      <c r="G126" s="333">
        <f t="shared" si="9"/>
        <v>17692.187180457124</v>
      </c>
      <c r="I126" s="202"/>
      <c r="J126" s="202"/>
    </row>
    <row r="127" spans="1:10" s="56" customFormat="1">
      <c r="A127" s="56">
        <f t="shared" si="10"/>
        <v>111</v>
      </c>
      <c r="B127" s="330">
        <f t="shared" si="8"/>
        <v>46996</v>
      </c>
      <c r="C127" s="337"/>
      <c r="D127" s="331">
        <f t="shared" si="11"/>
        <v>165905.68803418457</v>
      </c>
      <c r="E127" s="331">
        <f t="shared" si="12"/>
        <v>16590.568803418802</v>
      </c>
      <c r="F127" s="331">
        <f t="shared" si="13"/>
        <v>1001.471251853018</v>
      </c>
      <c r="G127" s="333">
        <f t="shared" si="9"/>
        <v>17592.04005527182</v>
      </c>
      <c r="I127" s="202"/>
      <c r="J127" s="202"/>
    </row>
    <row r="128" spans="1:10" s="56" customFormat="1">
      <c r="A128" s="56">
        <f t="shared" si="10"/>
        <v>112</v>
      </c>
      <c r="B128" s="330">
        <f t="shared" si="8"/>
        <v>47026</v>
      </c>
      <c r="C128" s="337"/>
      <c r="D128" s="331">
        <f t="shared" si="11"/>
        <v>149315.11923076576</v>
      </c>
      <c r="E128" s="331">
        <f t="shared" si="12"/>
        <v>16590.568803418802</v>
      </c>
      <c r="F128" s="331">
        <f t="shared" si="13"/>
        <v>872.24915483972325</v>
      </c>
      <c r="G128" s="333">
        <f t="shared" si="9"/>
        <v>17462.817958258525</v>
      </c>
      <c r="I128" s="202"/>
      <c r="J128" s="202"/>
    </row>
    <row r="129" spans="1:10" s="56" customFormat="1">
      <c r="A129" s="56">
        <f t="shared" si="10"/>
        <v>113</v>
      </c>
      <c r="B129" s="330">
        <f t="shared" si="8"/>
        <v>47057</v>
      </c>
      <c r="C129" s="337"/>
      <c r="D129" s="331">
        <f t="shared" si="11"/>
        <v>132724.55042734696</v>
      </c>
      <c r="E129" s="331">
        <f t="shared" si="12"/>
        <v>16590.568803418802</v>
      </c>
      <c r="F129" s="331">
        <f t="shared" si="13"/>
        <v>801.17700148241011</v>
      </c>
      <c r="G129" s="333">
        <f t="shared" si="9"/>
        <v>17391.745804901213</v>
      </c>
      <c r="I129" s="202"/>
      <c r="J129" s="202"/>
    </row>
    <row r="130" spans="1:10" s="56" customFormat="1">
      <c r="A130" s="56">
        <f t="shared" si="10"/>
        <v>114</v>
      </c>
      <c r="B130" s="330">
        <f t="shared" si="8"/>
        <v>47087</v>
      </c>
      <c r="C130" s="337"/>
      <c r="D130" s="331">
        <f t="shared" si="11"/>
        <v>116133.98162392815</v>
      </c>
      <c r="E130" s="331">
        <f t="shared" si="12"/>
        <v>16590.568803418802</v>
      </c>
      <c r="F130" s="331">
        <f t="shared" si="13"/>
        <v>678.4160093197803</v>
      </c>
      <c r="G130" s="333">
        <f t="shared" si="9"/>
        <v>17268.984812738581</v>
      </c>
      <c r="I130" s="202"/>
      <c r="J130" s="202"/>
    </row>
    <row r="131" spans="1:10" s="56" customFormat="1">
      <c r="A131" s="56">
        <f t="shared" si="10"/>
        <v>115</v>
      </c>
      <c r="B131" s="334">
        <f t="shared" si="8"/>
        <v>47118</v>
      </c>
      <c r="C131" s="338"/>
      <c r="D131" s="335">
        <f t="shared" si="11"/>
        <v>99543.412820509344</v>
      </c>
      <c r="E131" s="335">
        <f t="shared" si="12"/>
        <v>16590.568803418802</v>
      </c>
      <c r="F131" s="335">
        <f t="shared" si="13"/>
        <v>600.88275111180235</v>
      </c>
      <c r="G131" s="336">
        <f t="shared" si="9"/>
        <v>17191.451554530606</v>
      </c>
      <c r="I131" s="202">
        <f>SUM(E120:E131)</f>
        <v>199086.82564102564</v>
      </c>
      <c r="J131" s="202">
        <f>SUM(F120:F131)</f>
        <v>13581.242396097092</v>
      </c>
    </row>
    <row r="132" spans="1:10" s="56" customFormat="1">
      <c r="A132" s="56">
        <f t="shared" si="10"/>
        <v>116</v>
      </c>
      <c r="B132" s="330">
        <f t="shared" si="8"/>
        <v>47149</v>
      </c>
      <c r="C132" s="337"/>
      <c r="D132" s="331">
        <f t="shared" si="11"/>
        <v>82952.844017090538</v>
      </c>
      <c r="E132" s="331">
        <f t="shared" si="12"/>
        <v>16590.568803418802</v>
      </c>
      <c r="F132" s="331">
        <f t="shared" si="13"/>
        <v>500.73562592649841</v>
      </c>
      <c r="G132" s="333">
        <f t="shared" si="9"/>
        <v>17091.304429345302</v>
      </c>
      <c r="I132" s="202"/>
      <c r="J132" s="202"/>
    </row>
    <row r="133" spans="1:10" s="56" customFormat="1">
      <c r="A133" s="56">
        <f t="shared" si="10"/>
        <v>117</v>
      </c>
      <c r="B133" s="330">
        <f t="shared" si="8"/>
        <v>47177</v>
      </c>
      <c r="C133" s="337"/>
      <c r="D133" s="331">
        <f t="shared" si="11"/>
        <v>66362.275213671732</v>
      </c>
      <c r="E133" s="331">
        <f t="shared" si="12"/>
        <v>16590.568803418802</v>
      </c>
      <c r="F133" s="331">
        <f t="shared" si="13"/>
        <v>361.82187163720795</v>
      </c>
      <c r="G133" s="333">
        <f t="shared" si="9"/>
        <v>16952.390675056009</v>
      </c>
      <c r="I133" s="202"/>
      <c r="J133" s="202"/>
    </row>
    <row r="134" spans="1:10" s="56" customFormat="1">
      <c r="A134" s="56">
        <f t="shared" si="10"/>
        <v>118</v>
      </c>
      <c r="B134" s="330">
        <f t="shared" si="8"/>
        <v>47208</v>
      </c>
      <c r="C134" s="337"/>
      <c r="D134" s="331">
        <f t="shared" si="11"/>
        <v>49771.706410252926</v>
      </c>
      <c r="E134" s="331">
        <f t="shared" si="12"/>
        <v>16590.568803418802</v>
      </c>
      <c r="F134" s="331">
        <f t="shared" si="13"/>
        <v>300.4413755558906</v>
      </c>
      <c r="G134" s="333">
        <f t="shared" si="9"/>
        <v>16891.010178974691</v>
      </c>
      <c r="I134" s="202"/>
      <c r="J134" s="202"/>
    </row>
    <row r="135" spans="1:10" s="56" customFormat="1">
      <c r="A135" s="56">
        <f t="shared" si="10"/>
        <v>119</v>
      </c>
      <c r="B135" s="330">
        <f t="shared" si="8"/>
        <v>47238</v>
      </c>
      <c r="C135" s="337"/>
      <c r="D135" s="331">
        <f t="shared" si="11"/>
        <v>33181.13760683412</v>
      </c>
      <c r="E135" s="331">
        <f t="shared" si="12"/>
        <v>16590.568803418802</v>
      </c>
      <c r="F135" s="331">
        <f t="shared" si="13"/>
        <v>193.83314551992262</v>
      </c>
      <c r="G135" s="333">
        <f t="shared" si="9"/>
        <v>16784.401948938725</v>
      </c>
      <c r="I135" s="202"/>
      <c r="J135" s="202"/>
    </row>
    <row r="136" spans="1:10" s="56" customFormat="1">
      <c r="A136" s="56">
        <f t="shared" si="10"/>
        <v>120</v>
      </c>
      <c r="B136" s="330">
        <f t="shared" si="8"/>
        <v>47269</v>
      </c>
      <c r="C136" s="337"/>
      <c r="D136" s="331">
        <f t="shared" si="11"/>
        <v>16590.568803415317</v>
      </c>
      <c r="E136" s="331">
        <f t="shared" si="12"/>
        <v>16590.568803418802</v>
      </c>
      <c r="F136" s="331">
        <f t="shared" si="13"/>
        <v>100.14712518528283</v>
      </c>
      <c r="G136" s="333">
        <f t="shared" si="9"/>
        <v>16690.715928604084</v>
      </c>
      <c r="I136" s="202"/>
      <c r="J136" s="202"/>
    </row>
    <row r="137" spans="1:10" s="56" customFormat="1" ht="13.8" thickBot="1">
      <c r="B137" s="339" t="s">
        <v>40</v>
      </c>
      <c r="C137" s="340"/>
      <c r="D137" s="340"/>
      <c r="E137" s="341">
        <f>SUM(E20:E136)</f>
        <v>1941096.5500000035</v>
      </c>
      <c r="F137" s="341">
        <f>SUM(F19:F136)</f>
        <v>690472.43097113911</v>
      </c>
      <c r="G137" s="342">
        <f>SUM(G19:G136)</f>
        <v>2631568.9809711389</v>
      </c>
      <c r="I137" s="202">
        <f>SUM(E132:E136)</f>
        <v>82952.844017094016</v>
      </c>
      <c r="J137" s="202">
        <f>SUM(F132:F136)</f>
        <v>1456.9791438248026</v>
      </c>
    </row>
    <row r="138" spans="1:10">
      <c r="B138" s="343" t="s">
        <v>144</v>
      </c>
    </row>
    <row r="139" spans="1:10">
      <c r="B139" s="343" t="s">
        <v>145</v>
      </c>
    </row>
    <row r="141" spans="1:10">
      <c r="B141" s="230" t="s">
        <v>41</v>
      </c>
      <c r="C141" s="200">
        <f>E137</f>
        <v>1941096.5500000035</v>
      </c>
      <c r="I141" s="200">
        <f>SUM(I22:I137)</f>
        <v>1941096.5499999996</v>
      </c>
      <c r="J141" s="200">
        <f>SUM(J22:J137)</f>
        <v>690472.43097113864</v>
      </c>
    </row>
    <row r="142" spans="1:10">
      <c r="B142" s="230" t="s">
        <v>16</v>
      </c>
      <c r="C142" s="200">
        <f>F137</f>
        <v>690472.43097113911</v>
      </c>
    </row>
    <row r="143" spans="1:10">
      <c r="B143" s="230" t="s">
        <v>17</v>
      </c>
      <c r="C143" s="200">
        <v>0</v>
      </c>
    </row>
    <row r="145" spans="2:3">
      <c r="B145" s="230" t="s">
        <v>40</v>
      </c>
      <c r="C145" s="200">
        <f>C141+C142+C143</f>
        <v>2631568.9809711426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13"/>
  <sheetViews>
    <sheetView topLeftCell="A10" workbookViewId="0">
      <selection activeCell="J18" sqref="J18"/>
    </sheetView>
  </sheetViews>
  <sheetFormatPr defaultRowHeight="13.2"/>
  <cols>
    <col min="1" max="1" width="13.109375" customWidth="1"/>
    <col min="2" max="4" width="19.33203125" customWidth="1"/>
    <col min="5" max="5" width="16.77734375" customWidth="1"/>
    <col min="6" max="6" width="18.33203125" customWidth="1"/>
    <col min="7" max="7" width="15.6640625" bestFit="1" customWidth="1"/>
    <col min="8" max="8" width="12.77734375" customWidth="1"/>
    <col min="9" max="9" width="12" bestFit="1" customWidth="1"/>
    <col min="10" max="10" width="18.33203125" bestFit="1" customWidth="1"/>
    <col min="11" max="11" width="12" hidden="1" customWidth="1"/>
    <col min="12" max="12" width="11" hidden="1" customWidth="1"/>
    <col min="13" max="15" width="11.77734375" hidden="1" customWidth="1"/>
    <col min="16" max="22" width="11.77734375" bestFit="1" customWidth="1"/>
    <col min="23" max="23" width="12" bestFit="1" customWidth="1"/>
    <col min="24" max="24" width="11.77734375" bestFit="1" customWidth="1"/>
    <col min="25" max="25" width="16.33203125" bestFit="1" customWidth="1"/>
    <col min="26" max="26" width="6" customWidth="1"/>
    <col min="27" max="27" width="10.6640625" bestFit="1" customWidth="1"/>
  </cols>
  <sheetData>
    <row r="1" spans="1:27" s="77" customFormat="1" ht="35.1" customHeight="1">
      <c r="A1" s="76"/>
      <c r="B1" s="379" t="str">
        <f>'grad indatorare'!B1:H1</f>
        <v>Primaria Orasului Sinaia</v>
      </c>
      <c r="C1" s="379"/>
      <c r="D1" s="379"/>
      <c r="E1" s="379"/>
      <c r="F1" s="379"/>
      <c r="G1" s="379"/>
      <c r="H1" s="379"/>
    </row>
    <row r="2" spans="1:27" s="81" customFormat="1" ht="17.25" customHeight="1">
      <c r="A2" s="78" t="s">
        <v>46</v>
      </c>
      <c r="B2" s="79"/>
      <c r="C2" s="79"/>
      <c r="D2" s="80"/>
      <c r="E2" s="79"/>
      <c r="F2" s="78"/>
      <c r="G2" s="80"/>
      <c r="H2" s="80"/>
    </row>
    <row r="3" spans="1:27" s="81" customFormat="1" ht="17.25" customHeight="1">
      <c r="A3" s="78"/>
      <c r="B3" s="79"/>
      <c r="C3" s="79"/>
      <c r="D3" s="80"/>
      <c r="E3" s="79"/>
      <c r="F3" s="78"/>
      <c r="G3" s="80"/>
      <c r="H3" s="80"/>
    </row>
    <row r="4" spans="1:27" s="28" customFormat="1" ht="15.6">
      <c r="A4" s="82" t="s">
        <v>52</v>
      </c>
      <c r="B4" s="27"/>
      <c r="C4" s="110">
        <v>3000000</v>
      </c>
      <c r="D4" s="27"/>
      <c r="E4" s="27"/>
    </row>
    <row r="5" spans="1:27" s="28" customFormat="1" hidden="1">
      <c r="A5" s="31" t="s">
        <v>19</v>
      </c>
      <c r="C5" s="32">
        <v>4000000</v>
      </c>
      <c r="E5" s="29"/>
      <c r="F5" s="30"/>
    </row>
    <row r="6" spans="1:27" s="28" customFormat="1" hidden="1">
      <c r="B6" s="33"/>
      <c r="C6" s="33"/>
      <c r="D6" s="34"/>
      <c r="E6" s="35"/>
      <c r="F6" s="36"/>
      <c r="H6" s="38"/>
    </row>
    <row r="7" spans="1:27" s="28" customFormat="1">
      <c r="A7" s="380" t="s">
        <v>77</v>
      </c>
      <c r="B7" s="381"/>
      <c r="C7" s="37">
        <f>G7+C8</f>
        <v>6.4000000000000001E-2</v>
      </c>
      <c r="D7" s="34"/>
      <c r="E7" s="83" t="s">
        <v>90</v>
      </c>
      <c r="F7" s="36"/>
      <c r="G7" s="84">
        <v>3.9E-2</v>
      </c>
      <c r="H7" s="38"/>
      <c r="I7" s="46"/>
      <c r="J7" s="46"/>
      <c r="K7" s="46"/>
      <c r="L7" s="46"/>
      <c r="M7" s="46"/>
      <c r="N7" s="46"/>
      <c r="O7" s="46"/>
      <c r="P7" s="46">
        <v>2018</v>
      </c>
      <c r="Q7" s="46">
        <f t="shared" ref="Q7:Y7" si="0">P7+1</f>
        <v>2019</v>
      </c>
      <c r="R7" s="46">
        <f t="shared" si="0"/>
        <v>2020</v>
      </c>
      <c r="S7" s="46">
        <f t="shared" si="0"/>
        <v>2021</v>
      </c>
      <c r="T7" s="46">
        <f t="shared" si="0"/>
        <v>2022</v>
      </c>
      <c r="U7" s="46">
        <f t="shared" si="0"/>
        <v>2023</v>
      </c>
      <c r="V7" s="46">
        <f t="shared" si="0"/>
        <v>2024</v>
      </c>
      <c r="W7" s="46">
        <f t="shared" si="0"/>
        <v>2025</v>
      </c>
      <c r="X7" s="46">
        <f t="shared" si="0"/>
        <v>2026</v>
      </c>
      <c r="Y7" s="46">
        <f t="shared" si="0"/>
        <v>2027</v>
      </c>
    </row>
    <row r="8" spans="1:27" s="28" customFormat="1">
      <c r="A8" s="39" t="s">
        <v>22</v>
      </c>
      <c r="C8" s="37">
        <v>2.5000000000000001E-2</v>
      </c>
      <c r="D8" s="29"/>
      <c r="E8" s="35"/>
      <c r="F8" s="37"/>
      <c r="I8" s="64"/>
      <c r="J8" s="63" t="s">
        <v>53</v>
      </c>
      <c r="K8" s="116"/>
      <c r="L8" s="64"/>
      <c r="M8" s="64"/>
      <c r="N8" s="64"/>
      <c r="O8" s="64"/>
      <c r="P8" s="64">
        <f>G32</f>
        <v>89820</v>
      </c>
      <c r="Q8" s="64">
        <f>P8</f>
        <v>89820</v>
      </c>
      <c r="R8" s="64">
        <f t="shared" ref="R8:X8" si="1">Q8</f>
        <v>89820</v>
      </c>
      <c r="S8" s="64">
        <f t="shared" si="1"/>
        <v>89820</v>
      </c>
      <c r="T8" s="64">
        <f t="shared" si="1"/>
        <v>89820</v>
      </c>
      <c r="U8" s="64">
        <f t="shared" si="1"/>
        <v>89820</v>
      </c>
      <c r="V8" s="64">
        <f t="shared" si="1"/>
        <v>89820</v>
      </c>
      <c r="W8" s="64">
        <f t="shared" si="1"/>
        <v>89820</v>
      </c>
      <c r="X8" s="64">
        <f t="shared" si="1"/>
        <v>89820</v>
      </c>
      <c r="Y8" s="63">
        <f>G67</f>
        <v>44930.920000000042</v>
      </c>
      <c r="Z8" s="88"/>
      <c r="AA8" s="88">
        <f>SUM(L8:Z8)</f>
        <v>853310.92</v>
      </c>
    </row>
    <row r="9" spans="1:27" s="28" customFormat="1">
      <c r="A9" s="85"/>
      <c r="B9" s="37"/>
      <c r="C9" s="37"/>
      <c r="D9" s="86"/>
      <c r="E9" s="87"/>
      <c r="F9" s="37"/>
      <c r="I9" s="64"/>
      <c r="J9" s="63" t="s">
        <v>20</v>
      </c>
      <c r="K9" s="116"/>
      <c r="L9" s="64"/>
      <c r="M9" s="64"/>
      <c r="N9" s="64"/>
      <c r="O9" s="63"/>
      <c r="P9" s="63">
        <f>H32</f>
        <v>53178.789475555561</v>
      </c>
      <c r="Q9" s="63">
        <f>H36</f>
        <v>47350.469475555561</v>
      </c>
      <c r="R9" s="63">
        <f>H40</f>
        <v>41641.913194666675</v>
      </c>
      <c r="S9" s="63">
        <f>H44</f>
        <v>35693.829475555562</v>
      </c>
      <c r="T9" s="63">
        <f>H48</f>
        <v>29865.509475555558</v>
      </c>
      <c r="U9" s="63">
        <f>H52</f>
        <v>24037.189475555559</v>
      </c>
      <c r="V9" s="63">
        <f>H56</f>
        <v>18264.761194666669</v>
      </c>
      <c r="W9" s="63">
        <f>H60</f>
        <v>12380.549475555561</v>
      </c>
      <c r="X9" s="63">
        <f>H64</f>
        <v>6552.2294755555586</v>
      </c>
      <c r="Y9" s="63">
        <f>H67</f>
        <v>918.6806755555566</v>
      </c>
      <c r="Z9" s="88"/>
      <c r="AA9" s="88">
        <f>SUM(L9:Z9)</f>
        <v>269883.92139377777</v>
      </c>
    </row>
    <row r="10" spans="1:27" ht="13.8" thickBot="1">
      <c r="A10" s="65"/>
      <c r="B10" s="66"/>
      <c r="C10" s="66"/>
      <c r="D10" s="66"/>
      <c r="E10" s="66"/>
      <c r="F10" s="67"/>
    </row>
    <row r="11" spans="1:27" ht="14.4" thickBot="1">
      <c r="A11" s="68" t="s">
        <v>34</v>
      </c>
      <c r="B11" s="69" t="s">
        <v>35</v>
      </c>
      <c r="C11" s="69" t="s">
        <v>36</v>
      </c>
      <c r="D11" s="69" t="s">
        <v>32</v>
      </c>
      <c r="E11" s="70" t="s">
        <v>37</v>
      </c>
      <c r="F11" s="114"/>
      <c r="G11" s="122"/>
      <c r="H11" s="55"/>
    </row>
    <row r="12" spans="1:27" ht="13.8">
      <c r="A12" s="139" t="s">
        <v>38</v>
      </c>
      <c r="B12" s="140">
        <v>2</v>
      </c>
      <c r="C12" s="140">
        <v>3</v>
      </c>
      <c r="D12" s="140">
        <v>4</v>
      </c>
      <c r="E12" s="141" t="s">
        <v>39</v>
      </c>
      <c r="F12" s="115">
        <v>41578</v>
      </c>
      <c r="G12" s="122"/>
      <c r="H12" s="55"/>
    </row>
    <row r="13" spans="1:27">
      <c r="A13" s="145">
        <v>41670</v>
      </c>
      <c r="B13" s="142">
        <v>0</v>
      </c>
      <c r="C13" s="142">
        <v>1189796.92</v>
      </c>
      <c r="D13" s="143">
        <f>C13*F13*C7/360</f>
        <v>19459.789624888886</v>
      </c>
      <c r="E13" s="144">
        <f>B13+D13</f>
        <v>19459.789624888886</v>
      </c>
      <c r="F13" s="114">
        <f>A13-F12</f>
        <v>92</v>
      </c>
      <c r="G13" s="122"/>
      <c r="H13" s="55"/>
      <c r="I13" t="e">
        <f>C13*#REF!/360</f>
        <v>#REF!</v>
      </c>
    </row>
    <row r="14" spans="1:27">
      <c r="A14" s="145">
        <f>EOMONTH(A13,3)</f>
        <v>41759</v>
      </c>
      <c r="B14" s="142">
        <f>C13/13/4</f>
        <v>22880.71</v>
      </c>
      <c r="C14" s="71">
        <f>C13</f>
        <v>1189796.92</v>
      </c>
      <c r="D14" s="52">
        <f t="shared" ref="D14:D65" si="2">(C14*F14*$C$7)/360</f>
        <v>18825.231267555555</v>
      </c>
      <c r="E14" s="100">
        <f>B14+D14</f>
        <v>41705.94126755555</v>
      </c>
      <c r="F14" s="114">
        <f>A14-A13</f>
        <v>89</v>
      </c>
      <c r="G14" s="122"/>
      <c r="H14" s="55"/>
    </row>
    <row r="15" spans="1:27">
      <c r="A15" s="145">
        <f t="shared" ref="A15:A65" si="3">EOMONTH(A14,3)</f>
        <v>41851</v>
      </c>
      <c r="B15" s="142">
        <f t="shared" ref="B15:B65" si="4">B14</f>
        <v>22880.71</v>
      </c>
      <c r="C15" s="71">
        <f>C14-B14</f>
        <v>1166916.21</v>
      </c>
      <c r="D15" s="143">
        <f t="shared" si="2"/>
        <v>19085.562901333331</v>
      </c>
      <c r="E15" s="144">
        <f>B15+D15</f>
        <v>41966.27290133333</v>
      </c>
      <c r="F15" s="114">
        <f>A15-A14</f>
        <v>92</v>
      </c>
      <c r="G15" s="122"/>
      <c r="H15" s="55"/>
    </row>
    <row r="16" spans="1:27" s="173" customFormat="1">
      <c r="A16" s="175">
        <f t="shared" si="3"/>
        <v>41943</v>
      </c>
      <c r="B16" s="176">
        <f t="shared" si="4"/>
        <v>22880.71</v>
      </c>
      <c r="C16" s="167">
        <f>C15-B15+L15/2</f>
        <v>1144035.5</v>
      </c>
      <c r="D16" s="168">
        <f t="shared" si="2"/>
        <v>18711.336177777779</v>
      </c>
      <c r="E16" s="169">
        <f t="shared" ref="E16:E65" si="5">B16+D16</f>
        <v>41592.046177777782</v>
      </c>
      <c r="F16" s="170">
        <f t="shared" ref="F16:F66" si="6">A16-A15</f>
        <v>92</v>
      </c>
      <c r="G16" s="171">
        <f>SUM(B13:B16)</f>
        <v>68642.13</v>
      </c>
      <c r="H16" s="172">
        <f>SUM(D13:D16)</f>
        <v>76081.919971555559</v>
      </c>
    </row>
    <row r="17" spans="1:12" s="56" customFormat="1">
      <c r="A17" s="145">
        <f t="shared" si="3"/>
        <v>42035</v>
      </c>
      <c r="B17" s="174">
        <f>B16+L15/2/49</f>
        <v>22880.71</v>
      </c>
      <c r="C17" s="72">
        <f t="shared" ref="C17:C65" si="7">C16-B16</f>
        <v>1121154.79</v>
      </c>
      <c r="D17" s="57">
        <f t="shared" si="2"/>
        <v>18337.109454222224</v>
      </c>
      <c r="E17" s="101">
        <f t="shared" si="5"/>
        <v>41217.819454222219</v>
      </c>
      <c r="F17" s="113">
        <f t="shared" si="6"/>
        <v>92</v>
      </c>
      <c r="G17" s="123"/>
      <c r="H17" s="58"/>
      <c r="L17" s="56">
        <f>13*4</f>
        <v>52</v>
      </c>
    </row>
    <row r="18" spans="1:12" s="56" customFormat="1">
      <c r="A18" s="145">
        <f t="shared" si="3"/>
        <v>42124</v>
      </c>
      <c r="B18" s="174">
        <f>B17</f>
        <v>22880.71</v>
      </c>
      <c r="C18" s="72">
        <f t="shared" si="7"/>
        <v>1098274.08</v>
      </c>
      <c r="D18" s="57">
        <f t="shared" si="2"/>
        <v>17377.136554666668</v>
      </c>
      <c r="E18" s="101">
        <f t="shared" si="5"/>
        <v>40257.84655466667</v>
      </c>
      <c r="F18" s="113">
        <f t="shared" si="6"/>
        <v>89</v>
      </c>
      <c r="G18" s="123"/>
      <c r="H18" s="58"/>
    </row>
    <row r="19" spans="1:12" s="56" customFormat="1">
      <c r="A19" s="145">
        <f t="shared" si="3"/>
        <v>42216</v>
      </c>
      <c r="B19" s="174">
        <f t="shared" si="4"/>
        <v>22880.71</v>
      </c>
      <c r="C19" s="72">
        <f>C18-B18+L15/2</f>
        <v>1075393.3700000001</v>
      </c>
      <c r="D19" s="57">
        <f t="shared" si="2"/>
        <v>17588.656007111113</v>
      </c>
      <c r="E19" s="101">
        <f t="shared" si="5"/>
        <v>40469.366007111108</v>
      </c>
      <c r="F19" s="113">
        <f t="shared" si="6"/>
        <v>92</v>
      </c>
      <c r="G19" s="123"/>
      <c r="H19" s="58"/>
    </row>
    <row r="20" spans="1:12" s="173" customFormat="1">
      <c r="A20" s="175">
        <f t="shared" si="3"/>
        <v>42308</v>
      </c>
      <c r="B20" s="167">
        <f>B19+L15/2/46</f>
        <v>22880.71</v>
      </c>
      <c r="C20" s="167">
        <f t="shared" si="7"/>
        <v>1052512.6600000001</v>
      </c>
      <c r="D20" s="168">
        <f t="shared" si="2"/>
        <v>17214.429283555557</v>
      </c>
      <c r="E20" s="169">
        <f t="shared" si="5"/>
        <v>40095.13928355556</v>
      </c>
      <c r="F20" s="170">
        <f t="shared" si="6"/>
        <v>92</v>
      </c>
      <c r="G20" s="171">
        <f>SUM(B17:B20)</f>
        <v>91522.84</v>
      </c>
      <c r="H20" s="172">
        <f>SUM(D17:D20)</f>
        <v>70517.331299555561</v>
      </c>
    </row>
    <row r="21" spans="1:12" s="56" customFormat="1">
      <c r="A21" s="145">
        <f t="shared" si="3"/>
        <v>42400</v>
      </c>
      <c r="B21" s="72">
        <f t="shared" si="4"/>
        <v>22880.71</v>
      </c>
      <c r="C21" s="72">
        <f t="shared" si="7"/>
        <v>1029631.9500000002</v>
      </c>
      <c r="D21" s="57">
        <f t="shared" si="2"/>
        <v>16840.202560000005</v>
      </c>
      <c r="E21" s="101">
        <f t="shared" si="5"/>
        <v>39720.912560000004</v>
      </c>
      <c r="F21" s="113">
        <f t="shared" si="6"/>
        <v>92</v>
      </c>
      <c r="G21" s="123"/>
      <c r="H21" s="58"/>
    </row>
    <row r="22" spans="1:12" s="56" customFormat="1">
      <c r="A22" s="145">
        <f t="shared" si="3"/>
        <v>42490</v>
      </c>
      <c r="B22" s="72">
        <f t="shared" si="4"/>
        <v>22880.71</v>
      </c>
      <c r="C22" s="72">
        <f t="shared" si="7"/>
        <v>1006751.2400000002</v>
      </c>
      <c r="D22" s="57">
        <f t="shared" si="2"/>
        <v>16108.019840000006</v>
      </c>
      <c r="E22" s="101">
        <f t="shared" si="5"/>
        <v>38988.729840000007</v>
      </c>
      <c r="F22" s="113">
        <f t="shared" si="6"/>
        <v>90</v>
      </c>
      <c r="G22" s="123"/>
      <c r="H22" s="58"/>
    </row>
    <row r="23" spans="1:12" s="56" customFormat="1">
      <c r="A23" s="145">
        <f t="shared" si="3"/>
        <v>42582</v>
      </c>
      <c r="B23" s="72">
        <f t="shared" si="4"/>
        <v>22880.71</v>
      </c>
      <c r="C23" s="72">
        <f t="shared" si="7"/>
        <v>983870.53000000026</v>
      </c>
      <c r="D23" s="57">
        <f t="shared" si="2"/>
        <v>16091.749112888894</v>
      </c>
      <c r="E23" s="101">
        <f t="shared" si="5"/>
        <v>38972.459112888893</v>
      </c>
      <c r="F23" s="113">
        <f t="shared" si="6"/>
        <v>92</v>
      </c>
      <c r="G23" s="123"/>
      <c r="H23" s="58"/>
    </row>
    <row r="24" spans="1:12" s="173" customFormat="1">
      <c r="A24" s="175">
        <v>42704</v>
      </c>
      <c r="B24" s="167">
        <v>22455</v>
      </c>
      <c r="C24" s="167">
        <f>943130.92+22455</f>
        <v>965585.92000000004</v>
      </c>
      <c r="D24" s="168">
        <f t="shared" si="2"/>
        <v>20942.485731555556</v>
      </c>
      <c r="E24" s="169">
        <f t="shared" si="5"/>
        <v>43397.485731555556</v>
      </c>
      <c r="F24" s="170">
        <f t="shared" si="6"/>
        <v>122</v>
      </c>
      <c r="G24" s="171">
        <f>SUM(B21:B24)</f>
        <v>91097.13</v>
      </c>
      <c r="H24" s="172">
        <f>SUM(D21:D24)</f>
        <v>69982.457244444464</v>
      </c>
    </row>
    <row r="25" spans="1:12" s="56" customFormat="1">
      <c r="A25" s="145">
        <f t="shared" si="3"/>
        <v>42794</v>
      </c>
      <c r="B25" s="72">
        <f t="shared" si="4"/>
        <v>22455</v>
      </c>
      <c r="C25" s="72">
        <f t="shared" si="7"/>
        <v>943130.92</v>
      </c>
      <c r="D25" s="57">
        <f>(C25*F25*$C$7)/360</f>
        <v>15090.094720000001</v>
      </c>
      <c r="E25" s="101">
        <f t="shared" si="5"/>
        <v>37545.094720000001</v>
      </c>
      <c r="F25" s="113">
        <f t="shared" si="6"/>
        <v>90</v>
      </c>
      <c r="G25" s="123"/>
      <c r="H25" s="58"/>
    </row>
    <row r="26" spans="1:12" s="56" customFormat="1">
      <c r="A26" s="145">
        <f t="shared" si="3"/>
        <v>42886</v>
      </c>
      <c r="B26" s="72">
        <f t="shared" si="4"/>
        <v>22455</v>
      </c>
      <c r="C26" s="72">
        <f t="shared" si="7"/>
        <v>920675.92</v>
      </c>
      <c r="D26" s="57">
        <f t="shared" si="2"/>
        <v>15058.166158222224</v>
      </c>
      <c r="E26" s="101">
        <f t="shared" si="5"/>
        <v>37513.166158222222</v>
      </c>
      <c r="F26" s="113">
        <f t="shared" si="6"/>
        <v>92</v>
      </c>
      <c r="G26" s="123"/>
      <c r="H26" s="58"/>
    </row>
    <row r="27" spans="1:12" s="56" customFormat="1">
      <c r="A27" s="145">
        <f t="shared" si="3"/>
        <v>42978</v>
      </c>
      <c r="B27" s="72">
        <f t="shared" si="4"/>
        <v>22455</v>
      </c>
      <c r="C27" s="72">
        <f t="shared" si="7"/>
        <v>898220.92</v>
      </c>
      <c r="D27" s="57">
        <f t="shared" si="2"/>
        <v>14690.902158222223</v>
      </c>
      <c r="E27" s="101">
        <f t="shared" si="5"/>
        <v>37145.902158222219</v>
      </c>
      <c r="F27" s="113">
        <f t="shared" si="6"/>
        <v>92</v>
      </c>
      <c r="G27" s="123"/>
      <c r="H27" s="58"/>
    </row>
    <row r="28" spans="1:12" s="173" customFormat="1">
      <c r="A28" s="175">
        <f t="shared" si="3"/>
        <v>43069</v>
      </c>
      <c r="B28" s="167">
        <f t="shared" si="4"/>
        <v>22455</v>
      </c>
      <c r="C28" s="167">
        <f>C27-B27</f>
        <v>875765.92</v>
      </c>
      <c r="D28" s="168">
        <f t="shared" si="2"/>
        <v>14167.946439111111</v>
      </c>
      <c r="E28" s="169">
        <f t="shared" si="5"/>
        <v>36622.946439111111</v>
      </c>
      <c r="F28" s="170">
        <f t="shared" si="6"/>
        <v>91</v>
      </c>
      <c r="G28" s="171">
        <f>SUM(B25:B28)</f>
        <v>89820</v>
      </c>
      <c r="H28" s="172">
        <f>SUM(D25:D28)</f>
        <v>59007.109475555553</v>
      </c>
    </row>
    <row r="29" spans="1:12" s="56" customFormat="1" ht="15.6">
      <c r="A29" s="145">
        <f t="shared" si="3"/>
        <v>43159</v>
      </c>
      <c r="B29" s="72">
        <f t="shared" si="4"/>
        <v>22455</v>
      </c>
      <c r="C29" s="72">
        <f>C28-B28</f>
        <v>853310.92</v>
      </c>
      <c r="D29" s="57">
        <f t="shared" si="2"/>
        <v>13652.97472</v>
      </c>
      <c r="E29" s="101">
        <f t="shared" si="5"/>
        <v>36107.974719999998</v>
      </c>
      <c r="F29" s="113">
        <f t="shared" si="6"/>
        <v>90</v>
      </c>
      <c r="G29" s="123"/>
      <c r="H29" s="58"/>
      <c r="J29" s="221">
        <v>853310.92</v>
      </c>
    </row>
    <row r="30" spans="1:12" s="56" customFormat="1">
      <c r="A30" s="145">
        <f t="shared" si="3"/>
        <v>43251</v>
      </c>
      <c r="B30" s="72">
        <f t="shared" si="4"/>
        <v>22455</v>
      </c>
      <c r="C30" s="72">
        <f t="shared" si="7"/>
        <v>830855.92</v>
      </c>
      <c r="D30" s="57">
        <f t="shared" si="2"/>
        <v>13589.110158222224</v>
      </c>
      <c r="E30" s="101">
        <f t="shared" si="5"/>
        <v>36044.110158222225</v>
      </c>
      <c r="F30" s="113">
        <f t="shared" si="6"/>
        <v>92</v>
      </c>
      <c r="G30" s="123"/>
      <c r="H30" s="58"/>
    </row>
    <row r="31" spans="1:12" s="56" customFormat="1">
      <c r="A31" s="145">
        <f t="shared" si="3"/>
        <v>43343</v>
      </c>
      <c r="B31" s="72">
        <f t="shared" si="4"/>
        <v>22455</v>
      </c>
      <c r="C31" s="72">
        <f t="shared" si="7"/>
        <v>808400.92</v>
      </c>
      <c r="D31" s="57">
        <f t="shared" si="2"/>
        <v>13221.846158222223</v>
      </c>
      <c r="E31" s="101">
        <f t="shared" si="5"/>
        <v>35676.846158222223</v>
      </c>
      <c r="F31" s="113">
        <f t="shared" si="6"/>
        <v>92</v>
      </c>
      <c r="G31" s="123"/>
      <c r="H31" s="58"/>
    </row>
    <row r="32" spans="1:12" s="173" customFormat="1">
      <c r="A32" s="175">
        <f t="shared" si="3"/>
        <v>43434</v>
      </c>
      <c r="B32" s="167">
        <f t="shared" si="4"/>
        <v>22455</v>
      </c>
      <c r="C32" s="167">
        <f t="shared" si="7"/>
        <v>785945.92</v>
      </c>
      <c r="D32" s="168">
        <f t="shared" si="2"/>
        <v>12714.858439111113</v>
      </c>
      <c r="E32" s="169">
        <f t="shared" si="5"/>
        <v>35169.858439111114</v>
      </c>
      <c r="F32" s="170">
        <f t="shared" si="6"/>
        <v>91</v>
      </c>
      <c r="G32" s="171">
        <f>SUM(B29:B32)</f>
        <v>89820</v>
      </c>
      <c r="H32" s="172">
        <f>SUM(D29:D32)</f>
        <v>53178.789475555561</v>
      </c>
    </row>
    <row r="33" spans="1:8" s="56" customFormat="1">
      <c r="A33" s="145">
        <f t="shared" si="3"/>
        <v>43524</v>
      </c>
      <c r="B33" s="72">
        <f t="shared" si="4"/>
        <v>22455</v>
      </c>
      <c r="C33" s="72">
        <f>C32-B32</f>
        <v>763490.92</v>
      </c>
      <c r="D33" s="57">
        <f t="shared" si="2"/>
        <v>12215.854719999999</v>
      </c>
      <c r="E33" s="101">
        <f t="shared" si="5"/>
        <v>34670.854720000003</v>
      </c>
      <c r="F33" s="113">
        <f t="shared" si="6"/>
        <v>90</v>
      </c>
      <c r="G33" s="123"/>
      <c r="H33" s="58"/>
    </row>
    <row r="34" spans="1:8" s="56" customFormat="1">
      <c r="A34" s="145">
        <f t="shared" si="3"/>
        <v>43616</v>
      </c>
      <c r="B34" s="72">
        <f t="shared" si="4"/>
        <v>22455</v>
      </c>
      <c r="C34" s="72">
        <f t="shared" si="7"/>
        <v>741035.92</v>
      </c>
      <c r="D34" s="57">
        <f t="shared" si="2"/>
        <v>12120.054158222223</v>
      </c>
      <c r="E34" s="101">
        <f t="shared" si="5"/>
        <v>34575.054158222221</v>
      </c>
      <c r="F34" s="113">
        <f t="shared" si="6"/>
        <v>92</v>
      </c>
      <c r="G34" s="123"/>
      <c r="H34" s="58"/>
    </row>
    <row r="35" spans="1:8" s="56" customFormat="1">
      <c r="A35" s="145">
        <f t="shared" si="3"/>
        <v>43708</v>
      </c>
      <c r="B35" s="72">
        <f t="shared" si="4"/>
        <v>22455</v>
      </c>
      <c r="C35" s="72">
        <f t="shared" si="7"/>
        <v>718580.92</v>
      </c>
      <c r="D35" s="57">
        <f t="shared" si="2"/>
        <v>11752.790158222222</v>
      </c>
      <c r="E35" s="101">
        <f t="shared" si="5"/>
        <v>34207.790158222226</v>
      </c>
      <c r="F35" s="113">
        <f t="shared" si="6"/>
        <v>92</v>
      </c>
      <c r="G35" s="123"/>
      <c r="H35" s="58"/>
    </row>
    <row r="36" spans="1:8" s="173" customFormat="1">
      <c r="A36" s="175">
        <f t="shared" si="3"/>
        <v>43799</v>
      </c>
      <c r="B36" s="167">
        <f t="shared" si="4"/>
        <v>22455</v>
      </c>
      <c r="C36" s="167">
        <f t="shared" si="7"/>
        <v>696125.92</v>
      </c>
      <c r="D36" s="168">
        <f t="shared" si="2"/>
        <v>11261.770439111113</v>
      </c>
      <c r="E36" s="169">
        <f t="shared" si="5"/>
        <v>33716.770439111111</v>
      </c>
      <c r="F36" s="170">
        <f t="shared" si="6"/>
        <v>91</v>
      </c>
      <c r="G36" s="171">
        <f>SUM(B33:B36)</f>
        <v>89820</v>
      </c>
      <c r="H36" s="172">
        <f>SUM(D33:D36)</f>
        <v>47350.469475555561</v>
      </c>
    </row>
    <row r="37" spans="1:8" s="56" customFormat="1">
      <c r="A37" s="145">
        <f t="shared" si="3"/>
        <v>43890</v>
      </c>
      <c r="B37" s="72">
        <f t="shared" si="4"/>
        <v>22455</v>
      </c>
      <c r="C37" s="72">
        <f t="shared" si="7"/>
        <v>673670.92</v>
      </c>
      <c r="D37" s="57">
        <f t="shared" si="2"/>
        <v>10898.498439111114</v>
      </c>
      <c r="E37" s="101">
        <f t="shared" si="5"/>
        <v>33353.498439111114</v>
      </c>
      <c r="F37" s="113">
        <f t="shared" si="6"/>
        <v>91</v>
      </c>
      <c r="G37" s="123"/>
      <c r="H37" s="58"/>
    </row>
    <row r="38" spans="1:8" s="56" customFormat="1">
      <c r="A38" s="145">
        <f t="shared" si="3"/>
        <v>43982</v>
      </c>
      <c r="B38" s="72">
        <f t="shared" si="4"/>
        <v>22455</v>
      </c>
      <c r="C38" s="72">
        <f t="shared" si="7"/>
        <v>651215.92000000004</v>
      </c>
      <c r="D38" s="57">
        <f t="shared" si="2"/>
        <v>10650.998158222223</v>
      </c>
      <c r="E38" s="101">
        <f t="shared" si="5"/>
        <v>33105.998158222224</v>
      </c>
      <c r="F38" s="113">
        <f t="shared" si="6"/>
        <v>92</v>
      </c>
      <c r="G38" s="123"/>
      <c r="H38" s="58"/>
    </row>
    <row r="39" spans="1:8" s="56" customFormat="1">
      <c r="A39" s="145">
        <f t="shared" si="3"/>
        <v>44074</v>
      </c>
      <c r="B39" s="72">
        <f t="shared" si="4"/>
        <v>22455</v>
      </c>
      <c r="C39" s="72">
        <f t="shared" si="7"/>
        <v>628760.92000000004</v>
      </c>
      <c r="D39" s="57">
        <f t="shared" si="2"/>
        <v>10283.734158222222</v>
      </c>
      <c r="E39" s="101">
        <f t="shared" si="5"/>
        <v>32738.734158222222</v>
      </c>
      <c r="F39" s="113">
        <f t="shared" si="6"/>
        <v>92</v>
      </c>
      <c r="G39" s="123"/>
      <c r="H39" s="58"/>
    </row>
    <row r="40" spans="1:8" s="173" customFormat="1">
      <c r="A40" s="175">
        <f t="shared" si="3"/>
        <v>44165</v>
      </c>
      <c r="B40" s="167">
        <f t="shared" si="4"/>
        <v>22455</v>
      </c>
      <c r="C40" s="167">
        <f t="shared" si="7"/>
        <v>606305.92000000004</v>
      </c>
      <c r="D40" s="168">
        <f t="shared" si="2"/>
        <v>9808.6824391111131</v>
      </c>
      <c r="E40" s="169">
        <f t="shared" si="5"/>
        <v>32263.682439111115</v>
      </c>
      <c r="F40" s="170">
        <f t="shared" si="6"/>
        <v>91</v>
      </c>
      <c r="G40" s="171">
        <f>SUM(B37:B40)</f>
        <v>89820</v>
      </c>
      <c r="H40" s="172">
        <f>SUM(D37:D40)</f>
        <v>41641.913194666675</v>
      </c>
    </row>
    <row r="41" spans="1:8" s="56" customFormat="1">
      <c r="A41" s="145">
        <f t="shared" si="3"/>
        <v>44255</v>
      </c>
      <c r="B41" s="72">
        <f t="shared" si="4"/>
        <v>22455</v>
      </c>
      <c r="C41" s="72">
        <f t="shared" si="7"/>
        <v>583850.92000000004</v>
      </c>
      <c r="D41" s="57">
        <f t="shared" si="2"/>
        <v>9341.6147200000014</v>
      </c>
      <c r="E41" s="101">
        <f t="shared" si="5"/>
        <v>31796.614720000001</v>
      </c>
      <c r="F41" s="113">
        <f t="shared" si="6"/>
        <v>90</v>
      </c>
      <c r="G41" s="123"/>
      <c r="H41" s="58"/>
    </row>
    <row r="42" spans="1:8" s="56" customFormat="1">
      <c r="A42" s="145">
        <f t="shared" si="3"/>
        <v>44347</v>
      </c>
      <c r="B42" s="72">
        <f t="shared" si="4"/>
        <v>22455</v>
      </c>
      <c r="C42" s="72">
        <f>C41-B41</f>
        <v>561395.92000000004</v>
      </c>
      <c r="D42" s="57">
        <f t="shared" si="2"/>
        <v>9181.942158222224</v>
      </c>
      <c r="E42" s="101">
        <f t="shared" si="5"/>
        <v>31636.942158222224</v>
      </c>
      <c r="F42" s="113">
        <f t="shared" si="6"/>
        <v>92</v>
      </c>
      <c r="G42" s="123"/>
      <c r="H42" s="58"/>
    </row>
    <row r="43" spans="1:8" s="56" customFormat="1">
      <c r="A43" s="145">
        <f t="shared" si="3"/>
        <v>44439</v>
      </c>
      <c r="B43" s="72">
        <f t="shared" si="4"/>
        <v>22455</v>
      </c>
      <c r="C43" s="72">
        <f t="shared" si="7"/>
        <v>538940.92000000004</v>
      </c>
      <c r="D43" s="57">
        <f t="shared" si="2"/>
        <v>8814.6781582222229</v>
      </c>
      <c r="E43" s="101">
        <f t="shared" si="5"/>
        <v>31269.678158222225</v>
      </c>
      <c r="F43" s="113">
        <f t="shared" si="6"/>
        <v>92</v>
      </c>
      <c r="G43" s="123"/>
      <c r="H43" s="58"/>
    </row>
    <row r="44" spans="1:8" s="173" customFormat="1">
      <c r="A44" s="175">
        <f t="shared" si="3"/>
        <v>44530</v>
      </c>
      <c r="B44" s="167">
        <f t="shared" si="4"/>
        <v>22455</v>
      </c>
      <c r="C44" s="167">
        <f t="shared" si="7"/>
        <v>516485.92000000004</v>
      </c>
      <c r="D44" s="168">
        <f t="shared" si="2"/>
        <v>8355.5944391111116</v>
      </c>
      <c r="E44" s="169">
        <f t="shared" si="5"/>
        <v>30810.594439111112</v>
      </c>
      <c r="F44" s="170">
        <f t="shared" si="6"/>
        <v>91</v>
      </c>
      <c r="G44" s="171">
        <f>SUM(B41:B44)</f>
        <v>89820</v>
      </c>
      <c r="H44" s="172">
        <f>SUM(D41:D44)</f>
        <v>35693.829475555562</v>
      </c>
    </row>
    <row r="45" spans="1:8" s="56" customFormat="1">
      <c r="A45" s="145">
        <f t="shared" si="3"/>
        <v>44620</v>
      </c>
      <c r="B45" s="72">
        <f t="shared" si="4"/>
        <v>22455</v>
      </c>
      <c r="C45" s="72">
        <f t="shared" si="7"/>
        <v>494030.92000000004</v>
      </c>
      <c r="D45" s="57">
        <f t="shared" si="2"/>
        <v>7904.4947200000015</v>
      </c>
      <c r="E45" s="101">
        <f t="shared" si="5"/>
        <v>30359.494720000002</v>
      </c>
      <c r="F45" s="113">
        <f t="shared" si="6"/>
        <v>90</v>
      </c>
      <c r="G45" s="123"/>
      <c r="H45" s="58"/>
    </row>
    <row r="46" spans="1:8" s="56" customFormat="1">
      <c r="A46" s="145">
        <f t="shared" si="3"/>
        <v>44712</v>
      </c>
      <c r="B46" s="72">
        <f t="shared" si="4"/>
        <v>22455</v>
      </c>
      <c r="C46" s="72">
        <f t="shared" si="7"/>
        <v>471575.92000000004</v>
      </c>
      <c r="D46" s="57">
        <f t="shared" si="2"/>
        <v>7712.8861582222225</v>
      </c>
      <c r="E46" s="101">
        <f t="shared" si="5"/>
        <v>30167.886158222223</v>
      </c>
      <c r="F46" s="113">
        <f t="shared" si="6"/>
        <v>92</v>
      </c>
      <c r="G46" s="123"/>
      <c r="H46" s="58"/>
    </row>
    <row r="47" spans="1:8" s="56" customFormat="1">
      <c r="A47" s="145">
        <f t="shared" si="3"/>
        <v>44804</v>
      </c>
      <c r="B47" s="72">
        <f t="shared" si="4"/>
        <v>22455</v>
      </c>
      <c r="C47" s="72">
        <f t="shared" si="7"/>
        <v>449120.92000000004</v>
      </c>
      <c r="D47" s="57">
        <f t="shared" si="2"/>
        <v>7345.6221582222224</v>
      </c>
      <c r="E47" s="101">
        <f t="shared" si="5"/>
        <v>29800.622158222221</v>
      </c>
      <c r="F47" s="113">
        <f t="shared" si="6"/>
        <v>92</v>
      </c>
      <c r="G47" s="123"/>
      <c r="H47" s="58"/>
    </row>
    <row r="48" spans="1:8" s="173" customFormat="1">
      <c r="A48" s="175">
        <f t="shared" si="3"/>
        <v>44895</v>
      </c>
      <c r="B48" s="167">
        <f t="shared" si="4"/>
        <v>22455</v>
      </c>
      <c r="C48" s="167">
        <f t="shared" si="7"/>
        <v>426665.92000000004</v>
      </c>
      <c r="D48" s="168">
        <f t="shared" si="2"/>
        <v>6902.5064391111127</v>
      </c>
      <c r="E48" s="169">
        <f t="shared" si="5"/>
        <v>29357.506439111112</v>
      </c>
      <c r="F48" s="170">
        <f t="shared" si="6"/>
        <v>91</v>
      </c>
      <c r="G48" s="171">
        <f>SUM(B45:B48)</f>
        <v>89820</v>
      </c>
      <c r="H48" s="172">
        <f>SUM(D45:D48)</f>
        <v>29865.509475555558</v>
      </c>
    </row>
    <row r="49" spans="1:8" s="56" customFormat="1">
      <c r="A49" s="145">
        <f t="shared" si="3"/>
        <v>44985</v>
      </c>
      <c r="B49" s="72">
        <f t="shared" si="4"/>
        <v>22455</v>
      </c>
      <c r="C49" s="72">
        <f t="shared" si="7"/>
        <v>404210.92000000004</v>
      </c>
      <c r="D49" s="57">
        <f t="shared" si="2"/>
        <v>6467.3747200000007</v>
      </c>
      <c r="E49" s="101">
        <f t="shared" si="5"/>
        <v>28922.37472</v>
      </c>
      <c r="F49" s="113">
        <f t="shared" si="6"/>
        <v>90</v>
      </c>
      <c r="G49" s="123"/>
      <c r="H49" s="58"/>
    </row>
    <row r="50" spans="1:8" s="56" customFormat="1">
      <c r="A50" s="145">
        <f t="shared" si="3"/>
        <v>45077</v>
      </c>
      <c r="B50" s="72">
        <f t="shared" si="4"/>
        <v>22455</v>
      </c>
      <c r="C50" s="72">
        <f t="shared" si="7"/>
        <v>381755.92000000004</v>
      </c>
      <c r="D50" s="57">
        <f t="shared" si="2"/>
        <v>6243.8301582222221</v>
      </c>
      <c r="E50" s="101">
        <f t="shared" si="5"/>
        <v>28698.830158222223</v>
      </c>
      <c r="F50" s="113">
        <f t="shared" si="6"/>
        <v>92</v>
      </c>
      <c r="G50" s="123"/>
      <c r="H50" s="58"/>
    </row>
    <row r="51" spans="1:8" s="56" customFormat="1">
      <c r="A51" s="145">
        <f t="shared" si="3"/>
        <v>45169</v>
      </c>
      <c r="B51" s="72">
        <f t="shared" si="4"/>
        <v>22455</v>
      </c>
      <c r="C51" s="72">
        <f t="shared" si="7"/>
        <v>359300.92000000004</v>
      </c>
      <c r="D51" s="57">
        <f t="shared" si="2"/>
        <v>5876.5661582222237</v>
      </c>
      <c r="E51" s="101">
        <f t="shared" si="5"/>
        <v>28331.566158222224</v>
      </c>
      <c r="F51" s="113">
        <f t="shared" si="6"/>
        <v>92</v>
      </c>
      <c r="G51" s="123"/>
      <c r="H51" s="58"/>
    </row>
    <row r="52" spans="1:8" s="173" customFormat="1">
      <c r="A52" s="175">
        <f t="shared" si="3"/>
        <v>45260</v>
      </c>
      <c r="B52" s="167">
        <f t="shared" si="4"/>
        <v>22455</v>
      </c>
      <c r="C52" s="167">
        <f t="shared" si="7"/>
        <v>336845.92000000004</v>
      </c>
      <c r="D52" s="168">
        <f t="shared" si="2"/>
        <v>5449.4184391111112</v>
      </c>
      <c r="E52" s="169">
        <f t="shared" si="5"/>
        <v>27904.418439111112</v>
      </c>
      <c r="F52" s="170">
        <f t="shared" si="6"/>
        <v>91</v>
      </c>
      <c r="G52" s="171">
        <f>SUM(B49:B52)</f>
        <v>89820</v>
      </c>
      <c r="H52" s="172">
        <f>SUM(D49:D52)</f>
        <v>24037.189475555559</v>
      </c>
    </row>
    <row r="53" spans="1:8" s="56" customFormat="1">
      <c r="A53" s="145">
        <f t="shared" si="3"/>
        <v>45351</v>
      </c>
      <c r="B53" s="72">
        <f t="shared" si="4"/>
        <v>22455</v>
      </c>
      <c r="C53" s="72">
        <f t="shared" si="7"/>
        <v>314390.92000000004</v>
      </c>
      <c r="D53" s="57">
        <f t="shared" si="2"/>
        <v>5086.1464391111122</v>
      </c>
      <c r="E53" s="101">
        <f t="shared" si="5"/>
        <v>27541.146439111111</v>
      </c>
      <c r="F53" s="113">
        <f t="shared" si="6"/>
        <v>91</v>
      </c>
      <c r="G53" s="123"/>
      <c r="H53" s="58"/>
    </row>
    <row r="54" spans="1:8" s="56" customFormat="1">
      <c r="A54" s="145">
        <f t="shared" si="3"/>
        <v>45443</v>
      </c>
      <c r="B54" s="72">
        <f t="shared" si="4"/>
        <v>22455</v>
      </c>
      <c r="C54" s="72">
        <f t="shared" si="7"/>
        <v>291935.92000000004</v>
      </c>
      <c r="D54" s="57">
        <f t="shared" si="2"/>
        <v>4774.7741582222234</v>
      </c>
      <c r="E54" s="101">
        <f t="shared" si="5"/>
        <v>27229.774158222222</v>
      </c>
      <c r="F54" s="113">
        <f t="shared" si="6"/>
        <v>92</v>
      </c>
      <c r="G54" s="123"/>
      <c r="H54" s="58"/>
    </row>
    <row r="55" spans="1:8" s="56" customFormat="1">
      <c r="A55" s="145">
        <f t="shared" si="3"/>
        <v>45535</v>
      </c>
      <c r="B55" s="72">
        <f t="shared" si="4"/>
        <v>22455</v>
      </c>
      <c r="C55" s="72">
        <f t="shared" si="7"/>
        <v>269480.92000000004</v>
      </c>
      <c r="D55" s="57">
        <f t="shared" si="2"/>
        <v>4407.5101582222233</v>
      </c>
      <c r="E55" s="101">
        <f t="shared" si="5"/>
        <v>26862.510158222223</v>
      </c>
      <c r="F55" s="113">
        <f t="shared" si="6"/>
        <v>92</v>
      </c>
      <c r="G55" s="123"/>
      <c r="H55" s="58"/>
    </row>
    <row r="56" spans="1:8" s="173" customFormat="1">
      <c r="A56" s="175">
        <f t="shared" si="3"/>
        <v>45626</v>
      </c>
      <c r="B56" s="167">
        <f t="shared" si="4"/>
        <v>22455</v>
      </c>
      <c r="C56" s="167">
        <f t="shared" si="7"/>
        <v>247025.92000000004</v>
      </c>
      <c r="D56" s="168">
        <f t="shared" si="2"/>
        <v>3996.3304391111119</v>
      </c>
      <c r="E56" s="169">
        <f t="shared" si="5"/>
        <v>26451.330439111112</v>
      </c>
      <c r="F56" s="170">
        <f t="shared" si="6"/>
        <v>91</v>
      </c>
      <c r="G56" s="171">
        <f>SUM(B53:B56)</f>
        <v>89820</v>
      </c>
      <c r="H56" s="172">
        <f>SUM(D53:D56)</f>
        <v>18264.761194666669</v>
      </c>
    </row>
    <row r="57" spans="1:8" s="56" customFormat="1">
      <c r="A57" s="145">
        <f t="shared" si="3"/>
        <v>45716</v>
      </c>
      <c r="B57" s="72">
        <f t="shared" si="4"/>
        <v>22455</v>
      </c>
      <c r="C57" s="72">
        <f t="shared" si="7"/>
        <v>224570.92000000004</v>
      </c>
      <c r="D57" s="57">
        <f t="shared" si="2"/>
        <v>3593.1347200000014</v>
      </c>
      <c r="E57" s="101">
        <f t="shared" si="5"/>
        <v>26048.134720000002</v>
      </c>
      <c r="F57" s="113">
        <f t="shared" si="6"/>
        <v>90</v>
      </c>
      <c r="G57" s="123"/>
      <c r="H57" s="58"/>
    </row>
    <row r="58" spans="1:8" s="56" customFormat="1">
      <c r="A58" s="145">
        <f t="shared" si="3"/>
        <v>45808</v>
      </c>
      <c r="B58" s="72">
        <f t="shared" si="4"/>
        <v>22455</v>
      </c>
      <c r="C58" s="72">
        <f t="shared" si="7"/>
        <v>202115.92000000004</v>
      </c>
      <c r="D58" s="57">
        <f t="shared" si="2"/>
        <v>3305.7181582222233</v>
      </c>
      <c r="E58" s="101">
        <f t="shared" si="5"/>
        <v>25760.718158222222</v>
      </c>
      <c r="F58" s="113">
        <f t="shared" si="6"/>
        <v>92</v>
      </c>
      <c r="G58" s="123"/>
      <c r="H58" s="58"/>
    </row>
    <row r="59" spans="1:8" s="56" customFormat="1">
      <c r="A59" s="145">
        <f t="shared" si="3"/>
        <v>45900</v>
      </c>
      <c r="B59" s="72">
        <f t="shared" si="4"/>
        <v>22455</v>
      </c>
      <c r="C59" s="72">
        <f t="shared" si="7"/>
        <v>179660.92000000004</v>
      </c>
      <c r="D59" s="57">
        <f t="shared" si="2"/>
        <v>2938.4541582222232</v>
      </c>
      <c r="E59" s="101">
        <f t="shared" si="5"/>
        <v>25393.454158222223</v>
      </c>
      <c r="F59" s="113">
        <f t="shared" si="6"/>
        <v>92</v>
      </c>
      <c r="G59" s="123"/>
      <c r="H59" s="58"/>
    </row>
    <row r="60" spans="1:8" s="173" customFormat="1">
      <c r="A60" s="175">
        <f t="shared" si="3"/>
        <v>45991</v>
      </c>
      <c r="B60" s="167">
        <f t="shared" si="4"/>
        <v>22455</v>
      </c>
      <c r="C60" s="167">
        <f t="shared" si="7"/>
        <v>157205.92000000004</v>
      </c>
      <c r="D60" s="168">
        <f t="shared" si="2"/>
        <v>2543.2424391111122</v>
      </c>
      <c r="E60" s="169">
        <f t="shared" si="5"/>
        <v>24998.242439111113</v>
      </c>
      <c r="F60" s="170">
        <f t="shared" si="6"/>
        <v>91</v>
      </c>
      <c r="G60" s="171">
        <f>SUM(B57:B60)</f>
        <v>89820</v>
      </c>
      <c r="H60" s="172">
        <f>SUM(D57:D60)</f>
        <v>12380.549475555561</v>
      </c>
    </row>
    <row r="61" spans="1:8" s="56" customFormat="1">
      <c r="A61" s="145">
        <f t="shared" si="3"/>
        <v>46081</v>
      </c>
      <c r="B61" s="72">
        <f t="shared" si="4"/>
        <v>22455</v>
      </c>
      <c r="C61" s="72">
        <f t="shared" si="7"/>
        <v>134750.92000000004</v>
      </c>
      <c r="D61" s="57">
        <f t="shared" si="2"/>
        <v>2156.014720000001</v>
      </c>
      <c r="E61" s="101">
        <f t="shared" si="5"/>
        <v>24611.014719999999</v>
      </c>
      <c r="F61" s="113">
        <f t="shared" si="6"/>
        <v>90</v>
      </c>
      <c r="G61" s="123"/>
      <c r="H61" s="58"/>
    </row>
    <row r="62" spans="1:8" s="56" customFormat="1">
      <c r="A62" s="145">
        <f t="shared" si="3"/>
        <v>46173</v>
      </c>
      <c r="B62" s="72">
        <f t="shared" si="4"/>
        <v>22455</v>
      </c>
      <c r="C62" s="72">
        <f t="shared" si="7"/>
        <v>112295.92000000004</v>
      </c>
      <c r="D62" s="57">
        <f t="shared" si="2"/>
        <v>1836.6621582222228</v>
      </c>
      <c r="E62" s="101">
        <f t="shared" si="5"/>
        <v>24291.662158222221</v>
      </c>
      <c r="F62" s="113">
        <f t="shared" si="6"/>
        <v>92</v>
      </c>
      <c r="G62" s="123"/>
      <c r="H62" s="58"/>
    </row>
    <row r="63" spans="1:8" s="56" customFormat="1">
      <c r="A63" s="145">
        <f t="shared" si="3"/>
        <v>46265</v>
      </c>
      <c r="B63" s="72">
        <f t="shared" si="4"/>
        <v>22455</v>
      </c>
      <c r="C63" s="72">
        <f t="shared" si="7"/>
        <v>89840.920000000042</v>
      </c>
      <c r="D63" s="57">
        <f t="shared" si="2"/>
        <v>1469.3981582222232</v>
      </c>
      <c r="E63" s="101">
        <f t="shared" si="5"/>
        <v>23924.398158222222</v>
      </c>
      <c r="F63" s="113">
        <f t="shared" si="6"/>
        <v>92</v>
      </c>
      <c r="G63" s="123"/>
      <c r="H63" s="58"/>
    </row>
    <row r="64" spans="1:8" s="173" customFormat="1">
      <c r="A64" s="175">
        <f t="shared" si="3"/>
        <v>46356</v>
      </c>
      <c r="B64" s="167">
        <f t="shared" si="4"/>
        <v>22455</v>
      </c>
      <c r="C64" s="167">
        <f t="shared" si="7"/>
        <v>67385.920000000042</v>
      </c>
      <c r="D64" s="168">
        <f t="shared" si="2"/>
        <v>1090.1544391111117</v>
      </c>
      <c r="E64" s="169">
        <f t="shared" si="5"/>
        <v>23545.154439111113</v>
      </c>
      <c r="F64" s="170">
        <f t="shared" si="6"/>
        <v>91</v>
      </c>
      <c r="G64" s="171">
        <f>SUM(B61:B64)</f>
        <v>89820</v>
      </c>
      <c r="H64" s="172">
        <f>SUM(D61:D64)</f>
        <v>6552.2294755555586</v>
      </c>
    </row>
    <row r="65" spans="1:8" s="56" customFormat="1">
      <c r="A65" s="145">
        <f t="shared" si="3"/>
        <v>46446</v>
      </c>
      <c r="B65" s="72">
        <f t="shared" si="4"/>
        <v>22455</v>
      </c>
      <c r="C65" s="72">
        <f t="shared" si="7"/>
        <v>44930.920000000042</v>
      </c>
      <c r="D65" s="57">
        <f t="shared" si="2"/>
        <v>718.89472000000069</v>
      </c>
      <c r="E65" s="101">
        <f t="shared" si="5"/>
        <v>23173.89472</v>
      </c>
      <c r="F65" s="113">
        <f t="shared" si="6"/>
        <v>90</v>
      </c>
      <c r="G65" s="123"/>
      <c r="H65" s="58"/>
    </row>
    <row r="66" spans="1:8" s="56" customFormat="1" ht="13.8" thickBot="1">
      <c r="A66" s="145">
        <v>46496</v>
      </c>
      <c r="B66" s="72">
        <f>C66</f>
        <v>22475.920000000042</v>
      </c>
      <c r="C66" s="72">
        <f>C65-B65</f>
        <v>22475.920000000042</v>
      </c>
      <c r="D66" s="57">
        <f>(C66*F66*$C$7)/360</f>
        <v>199.78595555555592</v>
      </c>
      <c r="E66" s="101">
        <f>B66+D66</f>
        <v>22675.705955555597</v>
      </c>
      <c r="F66" s="113">
        <f t="shared" si="6"/>
        <v>50</v>
      </c>
      <c r="G66" s="123"/>
      <c r="H66" s="58"/>
    </row>
    <row r="67" spans="1:8" s="56" customFormat="1" ht="13.8" thickBot="1">
      <c r="A67" s="102" t="s">
        <v>40</v>
      </c>
      <c r="B67" s="103">
        <f>SUM(B11:B65)</f>
        <v>1171919.1000000001</v>
      </c>
      <c r="C67" s="104"/>
      <c r="D67" s="105">
        <f>SUM(D13:D65)</f>
        <v>545272.95342933328</v>
      </c>
      <c r="E67" s="105">
        <f>SUM(E13:E65)</f>
        <v>1717190.0534293337</v>
      </c>
      <c r="F67" s="113"/>
      <c r="G67" s="202">
        <f>SUM(B65:B66)</f>
        <v>44930.920000000042</v>
      </c>
      <c r="H67" s="202">
        <f>D65+D66</f>
        <v>918.6806755555566</v>
      </c>
    </row>
    <row r="68" spans="1:8" s="56" customFormat="1">
      <c r="A68" s="107"/>
      <c r="B68" s="108"/>
      <c r="C68" s="107"/>
      <c r="D68" s="109"/>
      <c r="E68" s="109"/>
      <c r="F68" s="89"/>
    </row>
    <row r="69" spans="1:8" s="56" customFormat="1">
      <c r="A69" s="56" t="s">
        <v>50</v>
      </c>
    </row>
    <row r="70" spans="1:8" s="56" customFormat="1">
      <c r="G70" s="146">
        <f>SUM(G32:G67)</f>
        <v>853310.92</v>
      </c>
      <c r="H70" s="146">
        <f>SUM(H32:H67)</f>
        <v>269883.92139377777</v>
      </c>
    </row>
    <row r="71" spans="1:8" s="56" customFormat="1">
      <c r="A71" s="107" t="s">
        <v>41</v>
      </c>
      <c r="B71" s="107"/>
      <c r="C71" s="109">
        <f>B67</f>
        <v>1171919.1000000001</v>
      </c>
      <c r="D71" s="56" t="s">
        <v>51</v>
      </c>
      <c r="E71" s="109"/>
      <c r="F71" s="107"/>
    </row>
    <row r="72" spans="1:8" s="56" customFormat="1">
      <c r="A72" s="107" t="s">
        <v>32</v>
      </c>
      <c r="B72" s="107"/>
      <c r="C72" s="109">
        <f>D67</f>
        <v>545272.95342933328</v>
      </c>
      <c r="D72" s="56" t="s">
        <v>51</v>
      </c>
      <c r="E72" s="109"/>
      <c r="F72" s="107"/>
    </row>
    <row r="73" spans="1:8" s="56" customFormat="1">
      <c r="A73" s="107" t="s">
        <v>17</v>
      </c>
      <c r="B73" s="107"/>
      <c r="C73" s="109">
        <v>12000</v>
      </c>
      <c r="D73" s="56" t="s">
        <v>51</v>
      </c>
      <c r="E73" s="109"/>
      <c r="F73" s="107"/>
    </row>
    <row r="74" spans="1:8" s="56" customFormat="1"/>
    <row r="75" spans="1:8" s="56" customFormat="1"/>
    <row r="76" spans="1:8" s="56" customFormat="1"/>
    <row r="77" spans="1:8" s="56" customFormat="1"/>
    <row r="78" spans="1:8" s="56" customFormat="1"/>
    <row r="79" spans="1:8" s="56" customFormat="1"/>
    <row r="80" spans="1:8" s="56" customFormat="1"/>
    <row r="81" s="56" customFormat="1"/>
    <row r="82" s="56" customFormat="1"/>
    <row r="83" s="56" customFormat="1"/>
    <row r="84" s="56" customFormat="1"/>
    <row r="85" s="56" customFormat="1"/>
    <row r="86" s="56" customFormat="1"/>
    <row r="87" s="56" customFormat="1"/>
    <row r="88" s="56" customFormat="1"/>
    <row r="89" s="56" customFormat="1"/>
    <row r="90" s="56" customFormat="1"/>
    <row r="91" s="56" customFormat="1"/>
    <row r="92" s="56" customFormat="1"/>
    <row r="93" s="56" customFormat="1"/>
    <row r="94" s="56" customFormat="1"/>
    <row r="95" s="56" customFormat="1"/>
    <row r="96" s="56" customFormat="1"/>
    <row r="97" s="56" customFormat="1"/>
    <row r="98" s="56" customFormat="1"/>
    <row r="99" s="56" customFormat="1"/>
    <row r="100" s="56" customFormat="1"/>
    <row r="101" s="56" customFormat="1"/>
    <row r="102" s="56" customFormat="1"/>
    <row r="103" s="56" customFormat="1"/>
    <row r="104" s="56" customFormat="1"/>
    <row r="105" s="56" customFormat="1"/>
    <row r="106" s="56" customFormat="1"/>
    <row r="107" s="56" customFormat="1"/>
    <row r="108" s="56" customFormat="1"/>
    <row r="109" s="56" customFormat="1"/>
    <row r="110" s="56" customFormat="1"/>
    <row r="111" s="56" customFormat="1"/>
    <row r="112" s="56" customFormat="1"/>
    <row r="113" s="56" customFormat="1"/>
  </sheetData>
  <mergeCells count="2">
    <mergeCell ref="B1:H1"/>
    <mergeCell ref="A7:B7"/>
  </mergeCells>
  <pageMargins left="0.31" right="0.2" top="0.16" bottom="0.16" header="0.16" footer="0.16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65"/>
  <sheetViews>
    <sheetView topLeftCell="A22" workbookViewId="0">
      <selection activeCell="L27" sqref="L27"/>
    </sheetView>
  </sheetViews>
  <sheetFormatPr defaultRowHeight="13.2"/>
  <cols>
    <col min="1" max="1" width="13.109375" customWidth="1"/>
    <col min="2" max="4" width="19.33203125" customWidth="1"/>
    <col min="5" max="5" width="16.77734375" customWidth="1"/>
    <col min="6" max="6" width="18.33203125" customWidth="1"/>
    <col min="7" max="7" width="15.6640625" bestFit="1" customWidth="1"/>
    <col min="8" max="8" width="12.77734375" customWidth="1"/>
    <col min="9" max="11" width="12" bestFit="1" customWidth="1"/>
    <col min="12" max="28" width="14.109375" bestFit="1" customWidth="1"/>
    <col min="29" max="29" width="13" bestFit="1" customWidth="1"/>
    <col min="30" max="30" width="10.6640625" bestFit="1" customWidth="1"/>
    <col min="31" max="31" width="16.109375" bestFit="1" customWidth="1"/>
    <col min="32" max="33" width="10.6640625" bestFit="1" customWidth="1"/>
  </cols>
  <sheetData>
    <row r="1" spans="1:33" s="77" customFormat="1" ht="35.1" customHeight="1">
      <c r="A1" s="76"/>
      <c r="B1" s="379" t="str">
        <f>'grad indatorare'!B1:H1</f>
        <v>Primaria Orasului Sinaia</v>
      </c>
      <c r="C1" s="379"/>
      <c r="D1" s="379"/>
      <c r="E1" s="379"/>
      <c r="F1" s="379"/>
      <c r="G1" s="379"/>
      <c r="H1" s="379"/>
      <c r="L1" s="313">
        <f>centralizator!E1</f>
        <v>4.9728000000000003</v>
      </c>
    </row>
    <row r="2" spans="1:33" s="81" customFormat="1" ht="17.25" customHeight="1">
      <c r="A2" s="78" t="s">
        <v>46</v>
      </c>
      <c r="B2" s="79"/>
      <c r="C2" s="79"/>
      <c r="D2" s="80"/>
      <c r="E2" s="79"/>
      <c r="F2" s="78"/>
      <c r="G2" s="80"/>
      <c r="H2" s="80"/>
    </row>
    <row r="3" spans="1:33" s="81" customFormat="1" ht="17.25" customHeight="1">
      <c r="A3" s="78"/>
      <c r="B3" s="79"/>
      <c r="C3" s="79"/>
      <c r="D3" s="80"/>
      <c r="E3" s="79"/>
      <c r="F3" s="78"/>
      <c r="G3" s="80"/>
      <c r="H3" s="80"/>
    </row>
    <row r="4" spans="1:33" s="28" customFormat="1" ht="15.6">
      <c r="A4" s="82" t="s">
        <v>52</v>
      </c>
      <c r="B4" s="27"/>
      <c r="C4" s="110">
        <v>553967.97</v>
      </c>
      <c r="D4" s="27"/>
      <c r="E4" s="27"/>
    </row>
    <row r="5" spans="1:33" s="28" customFormat="1" hidden="1">
      <c r="A5" s="31" t="s">
        <v>19</v>
      </c>
      <c r="C5" s="32">
        <v>4000000</v>
      </c>
      <c r="E5" s="29"/>
      <c r="F5" s="30"/>
    </row>
    <row r="6" spans="1:33" s="28" customFormat="1" hidden="1">
      <c r="B6" s="33"/>
      <c r="C6" s="33"/>
      <c r="D6" s="34"/>
      <c r="E6" s="35"/>
      <c r="F6" s="36"/>
      <c r="H6" s="38"/>
    </row>
    <row r="7" spans="1:33" s="28" customFormat="1">
      <c r="A7" s="380" t="s">
        <v>47</v>
      </c>
      <c r="B7" s="381"/>
      <c r="C7" s="37">
        <f>G7+C8</f>
        <v>0.05</v>
      </c>
      <c r="D7" s="34"/>
      <c r="E7" s="83" t="s">
        <v>55</v>
      </c>
      <c r="F7" s="36"/>
      <c r="G7" s="84">
        <v>0.05</v>
      </c>
      <c r="H7" s="38"/>
      <c r="I7" s="46"/>
      <c r="J7" s="46"/>
      <c r="K7" s="46"/>
      <c r="L7" s="46">
        <v>2014</v>
      </c>
      <c r="M7" s="46">
        <f t="shared" ref="M7:X7" si="0">L7+1</f>
        <v>2015</v>
      </c>
      <c r="N7" s="46">
        <f t="shared" si="0"/>
        <v>2016</v>
      </c>
      <c r="O7" s="46">
        <f t="shared" si="0"/>
        <v>2017</v>
      </c>
      <c r="P7" s="46">
        <f t="shared" si="0"/>
        <v>2018</v>
      </c>
      <c r="Q7" s="46">
        <f t="shared" si="0"/>
        <v>2019</v>
      </c>
      <c r="R7" s="46">
        <f t="shared" si="0"/>
        <v>2020</v>
      </c>
      <c r="S7" s="46">
        <f t="shared" si="0"/>
        <v>2021</v>
      </c>
      <c r="T7" s="46">
        <f t="shared" si="0"/>
        <v>2022</v>
      </c>
      <c r="U7" s="46">
        <f t="shared" si="0"/>
        <v>2023</v>
      </c>
      <c r="V7" s="46">
        <f t="shared" si="0"/>
        <v>2024</v>
      </c>
      <c r="W7" s="46">
        <f t="shared" si="0"/>
        <v>2025</v>
      </c>
      <c r="X7" s="46">
        <f t="shared" si="0"/>
        <v>2026</v>
      </c>
      <c r="Y7" s="46">
        <f>X7+1</f>
        <v>2027</v>
      </c>
      <c r="Z7" s="46">
        <f>Y7+1</f>
        <v>2028</v>
      </c>
      <c r="AA7" s="46">
        <f>Z7+1</f>
        <v>2029</v>
      </c>
      <c r="AB7" s="46">
        <f>AA7+1</f>
        <v>2030</v>
      </c>
      <c r="AC7" s="46">
        <f>AB7+1</f>
        <v>2031</v>
      </c>
      <c r="AD7" s="46"/>
      <c r="AE7" s="46"/>
    </row>
    <row r="8" spans="1:33" s="28" customFormat="1">
      <c r="A8" s="39" t="s">
        <v>22</v>
      </c>
      <c r="C8" s="37"/>
      <c r="D8" s="29"/>
      <c r="E8" s="35"/>
      <c r="F8" s="37"/>
      <c r="I8" s="64"/>
      <c r="J8" s="63" t="s">
        <v>53</v>
      </c>
      <c r="K8" s="116"/>
      <c r="L8" s="116">
        <f>B13*2</f>
        <v>29156.208947368421</v>
      </c>
      <c r="M8" s="116">
        <f>L8</f>
        <v>29156.208947368421</v>
      </c>
      <c r="N8" s="116">
        <f>M8</f>
        <v>29156.208947368421</v>
      </c>
      <c r="O8" s="116">
        <f>N8</f>
        <v>29156.208947368421</v>
      </c>
      <c r="P8" s="116">
        <f>O8</f>
        <v>29156.208947368421</v>
      </c>
      <c r="Q8" s="116">
        <f>P8</f>
        <v>29156.208947368421</v>
      </c>
      <c r="R8" s="116">
        <f t="shared" ref="R8:W8" si="1">Q8</f>
        <v>29156.208947368421</v>
      </c>
      <c r="S8" s="116">
        <f t="shared" si="1"/>
        <v>29156.208947368421</v>
      </c>
      <c r="T8" s="116">
        <f t="shared" si="1"/>
        <v>29156.208947368421</v>
      </c>
      <c r="U8" s="116">
        <f t="shared" si="1"/>
        <v>29156.208947368421</v>
      </c>
      <c r="V8" s="116">
        <f>U8</f>
        <v>29156.208947368421</v>
      </c>
      <c r="W8" s="116">
        <f t="shared" si="1"/>
        <v>29156.208947368421</v>
      </c>
      <c r="X8" s="116">
        <f>W8</f>
        <v>29156.208947368421</v>
      </c>
      <c r="Y8" s="116">
        <f>X8</f>
        <v>29156.208947368421</v>
      </c>
      <c r="Z8" s="116">
        <f>Y8</f>
        <v>29156.208947368421</v>
      </c>
      <c r="AA8" s="116">
        <f>Z8</f>
        <v>29156.208947368421</v>
      </c>
      <c r="AB8" s="116">
        <f>AA8</f>
        <v>29156.208947368421</v>
      </c>
      <c r="AC8" s="116">
        <f>AB8/2</f>
        <v>14578.10447368421</v>
      </c>
      <c r="AD8" s="116"/>
      <c r="AE8" s="151"/>
      <c r="AF8" s="88"/>
      <c r="AG8" s="88">
        <f>SUM(L8:AF8)</f>
        <v>510233.6565789475</v>
      </c>
    </row>
    <row r="9" spans="1:33" s="28" customFormat="1">
      <c r="A9" s="85"/>
      <c r="B9" s="37"/>
      <c r="C9" s="37"/>
      <c r="D9" s="86"/>
      <c r="E9" s="87"/>
      <c r="F9" s="37"/>
      <c r="I9" s="64"/>
      <c r="J9" s="63" t="s">
        <v>20</v>
      </c>
      <c r="K9" s="116"/>
      <c r="L9" s="116">
        <f>H14</f>
        <v>25564.326666228069</v>
      </c>
      <c r="M9" s="116">
        <f>H16</f>
        <v>24015.403064035087</v>
      </c>
      <c r="N9" s="116">
        <f>H18</f>
        <v>22600.11208991228</v>
      </c>
      <c r="O9" s="116">
        <f>H20</f>
        <v>21059.287434649123</v>
      </c>
      <c r="P9" s="116">
        <f>H22</f>
        <v>19581.229619956139</v>
      </c>
      <c r="Q9" s="116">
        <f>H24</f>
        <v>18103.171805263155</v>
      </c>
      <c r="R9" s="116">
        <f>H26</f>
        <v>16671.682937280697</v>
      </c>
      <c r="S9" s="116">
        <f>H28</f>
        <v>15147.056175877187</v>
      </c>
      <c r="T9" s="116">
        <f>H30</f>
        <v>13668.998361184205</v>
      </c>
      <c r="U9" s="116">
        <f>H32</f>
        <v>12190.940546491223</v>
      </c>
      <c r="V9" s="116">
        <f>H34</f>
        <v>10743.253784649118</v>
      </c>
      <c r="W9" s="64">
        <f>H36</f>
        <v>9234.8249171052557</v>
      </c>
      <c r="X9" s="116">
        <f>H38:H38</f>
        <v>7756.7671024122737</v>
      </c>
      <c r="Y9" s="64">
        <f>H40</f>
        <v>6278.7092877192899</v>
      </c>
      <c r="Z9" s="116">
        <f>H42</f>
        <v>4814.8246320175358</v>
      </c>
      <c r="AA9" s="64">
        <f>H44</f>
        <v>3322.5936583333241</v>
      </c>
      <c r="AB9" s="64">
        <f>H46</f>
        <v>1844.5358436403421</v>
      </c>
      <c r="AC9" s="64">
        <f>H48</f>
        <v>366.47768596490795</v>
      </c>
      <c r="AD9" s="64"/>
      <c r="AE9" s="64"/>
      <c r="AG9" s="88">
        <f>SUM(L9:AF9)</f>
        <v>232964.19561271917</v>
      </c>
    </row>
    <row r="10" spans="1:33" ht="13.8" thickBot="1">
      <c r="A10" s="65"/>
      <c r="B10" s="66"/>
      <c r="C10" s="66"/>
      <c r="D10" s="66"/>
      <c r="E10" s="66"/>
      <c r="F10" s="67"/>
    </row>
    <row r="11" spans="1:33" ht="14.4" thickBot="1">
      <c r="A11" s="68" t="s">
        <v>34</v>
      </c>
      <c r="B11" s="69" t="s">
        <v>35</v>
      </c>
      <c r="C11" s="69" t="s">
        <v>36</v>
      </c>
      <c r="D11" s="69" t="s">
        <v>32</v>
      </c>
      <c r="E11" s="70" t="s">
        <v>37</v>
      </c>
      <c r="F11" s="114"/>
      <c r="G11" s="122"/>
      <c r="H11" s="55"/>
      <c r="L11" s="200">
        <f>L8*$L$1</f>
        <v>144987.99585347369</v>
      </c>
      <c r="M11" s="200">
        <f t="shared" ref="M11:AC11" si="2">M8*$L$1</f>
        <v>144987.99585347369</v>
      </c>
      <c r="N11" s="200">
        <f t="shared" si="2"/>
        <v>144987.99585347369</v>
      </c>
      <c r="O11" s="200">
        <f t="shared" si="2"/>
        <v>144987.99585347369</v>
      </c>
      <c r="P11" s="200">
        <f t="shared" si="2"/>
        <v>144987.99585347369</v>
      </c>
      <c r="Q11" s="200">
        <f t="shared" si="2"/>
        <v>144987.99585347369</v>
      </c>
      <c r="R11" s="200">
        <f t="shared" si="2"/>
        <v>144987.99585347369</v>
      </c>
      <c r="S11" s="200">
        <f t="shared" si="2"/>
        <v>144987.99585347369</v>
      </c>
      <c r="T11" s="200">
        <f t="shared" si="2"/>
        <v>144987.99585347369</v>
      </c>
      <c r="U11" s="200">
        <f t="shared" si="2"/>
        <v>144987.99585347369</v>
      </c>
      <c r="V11" s="200">
        <f>V8*$L$1</f>
        <v>144987.99585347369</v>
      </c>
      <c r="W11" s="200">
        <f t="shared" si="2"/>
        <v>144987.99585347369</v>
      </c>
      <c r="X11" s="200">
        <f t="shared" si="2"/>
        <v>144987.99585347369</v>
      </c>
      <c r="Y11" s="200">
        <f t="shared" si="2"/>
        <v>144987.99585347369</v>
      </c>
      <c r="Z11" s="200">
        <f t="shared" si="2"/>
        <v>144987.99585347369</v>
      </c>
      <c r="AA11" s="200">
        <f t="shared" si="2"/>
        <v>144987.99585347369</v>
      </c>
      <c r="AB11" s="200">
        <f t="shared" si="2"/>
        <v>144987.99585347369</v>
      </c>
      <c r="AC11" s="200">
        <f t="shared" si="2"/>
        <v>72493.997926736847</v>
      </c>
    </row>
    <row r="12" spans="1:33" ht="13.8">
      <c r="A12" s="139" t="s">
        <v>38</v>
      </c>
      <c r="B12" s="140">
        <v>2</v>
      </c>
      <c r="C12" s="140">
        <v>3</v>
      </c>
      <c r="D12" s="140">
        <v>4</v>
      </c>
      <c r="E12" s="141" t="s">
        <v>39</v>
      </c>
      <c r="F12" s="115">
        <v>41552</v>
      </c>
      <c r="G12" s="122"/>
      <c r="H12" s="55"/>
      <c r="L12" s="200">
        <f>L9*$L$1</f>
        <v>127126.28364581896</v>
      </c>
      <c r="M12" s="200">
        <f t="shared" ref="M12:AC12" si="3">M9*$L$1</f>
        <v>119423.79635683369</v>
      </c>
      <c r="N12" s="200">
        <f t="shared" si="3"/>
        <v>112385.8374007158</v>
      </c>
      <c r="O12" s="200">
        <f t="shared" si="3"/>
        <v>104723.62455502317</v>
      </c>
      <c r="P12" s="200">
        <f t="shared" si="3"/>
        <v>97373.538654117889</v>
      </c>
      <c r="Q12" s="200">
        <f t="shared" si="3"/>
        <v>90023.452753212623</v>
      </c>
      <c r="R12" s="200">
        <f t="shared" si="3"/>
        <v>82904.944910509454</v>
      </c>
      <c r="S12" s="200">
        <f t="shared" si="3"/>
        <v>75323.280951402077</v>
      </c>
      <c r="T12" s="200">
        <f t="shared" si="3"/>
        <v>67973.195050496826</v>
      </c>
      <c r="U12" s="200">
        <f t="shared" si="3"/>
        <v>60623.109149591561</v>
      </c>
      <c r="V12" s="200">
        <f t="shared" si="3"/>
        <v>53424.052420303138</v>
      </c>
      <c r="W12" s="200">
        <f t="shared" si="3"/>
        <v>45922.937347781022</v>
      </c>
      <c r="X12" s="200">
        <f t="shared" si="3"/>
        <v>38572.851446875757</v>
      </c>
      <c r="Y12" s="200">
        <f t="shared" si="3"/>
        <v>31222.765545970487</v>
      </c>
      <c r="Z12" s="200">
        <f t="shared" si="3"/>
        <v>23943.159930096805</v>
      </c>
      <c r="AA12" s="200">
        <f t="shared" si="3"/>
        <v>16522.593744159956</v>
      </c>
      <c r="AB12" s="200">
        <f t="shared" si="3"/>
        <v>9172.5078432546943</v>
      </c>
      <c r="AC12" s="200">
        <f t="shared" si="3"/>
        <v>1822.4202367662945</v>
      </c>
    </row>
    <row r="13" spans="1:33">
      <c r="A13" s="145">
        <v>41734</v>
      </c>
      <c r="B13" s="142">
        <f>C4/38</f>
        <v>14578.10447368421</v>
      </c>
      <c r="C13" s="142">
        <f>C4-14578.1*3</f>
        <v>510233.67</v>
      </c>
      <c r="D13" s="148">
        <f>(C13*F13*$C$7)/360</f>
        <v>12897.573324999999</v>
      </c>
      <c r="E13" s="144">
        <f>B13+D13</f>
        <v>27475.67779868421</v>
      </c>
      <c r="F13" s="114">
        <f>A13-F12</f>
        <v>182</v>
      </c>
      <c r="G13" s="122"/>
      <c r="H13" s="55"/>
      <c r="K13">
        <v>1</v>
      </c>
    </row>
    <row r="14" spans="1:33">
      <c r="A14" s="145">
        <f>EOMONTH(A13,6)-25</f>
        <v>41918</v>
      </c>
      <c r="B14" s="142">
        <f>B13</f>
        <v>14578.10447368421</v>
      </c>
      <c r="C14" s="71">
        <f>C13-B13</f>
        <v>495655.56552631577</v>
      </c>
      <c r="D14" s="148">
        <f>(C14*F14*$C$7)/360</f>
        <v>12666.75334122807</v>
      </c>
      <c r="E14" s="100">
        <f>B14+D14</f>
        <v>27244.85781491228</v>
      </c>
      <c r="F14" s="114">
        <f>A14-A13</f>
        <v>184</v>
      </c>
      <c r="G14" s="122"/>
      <c r="H14" s="55">
        <f>SUM(D13:D14)</f>
        <v>25564.326666228069</v>
      </c>
      <c r="K14">
        <f>K13+1</f>
        <v>2</v>
      </c>
    </row>
    <row r="15" spans="1:33">
      <c r="A15" s="145">
        <f>EOMONTH(A14,6)-25</f>
        <v>42099</v>
      </c>
      <c r="B15" s="142">
        <f t="shared" ref="B15:B47" si="4">B14</f>
        <v>14578.10447368421</v>
      </c>
      <c r="C15" s="71">
        <f t="shared" ref="C15:C47" si="5">C14-B14</f>
        <v>481077.46105263155</v>
      </c>
      <c r="D15" s="147">
        <f t="shared" ref="D15:D47" si="6">(C15*F15*$C$7)/360</f>
        <v>12093.752840350877</v>
      </c>
      <c r="E15" s="144">
        <f>B15+D15</f>
        <v>26671.857314035085</v>
      </c>
      <c r="F15" s="114">
        <f>A15-A14</f>
        <v>181</v>
      </c>
      <c r="G15" s="122"/>
      <c r="H15" s="55"/>
      <c r="K15">
        <f t="shared" ref="K15:K51" si="7">K14+1</f>
        <v>3</v>
      </c>
    </row>
    <row r="16" spans="1:33">
      <c r="A16" s="145">
        <f t="shared" ref="A16:A46" si="8">EOMONTH(A15,6)-25</f>
        <v>42283</v>
      </c>
      <c r="B16" s="142">
        <f t="shared" si="4"/>
        <v>14578.10447368421</v>
      </c>
      <c r="C16" s="71">
        <f t="shared" si="5"/>
        <v>466499.35657894734</v>
      </c>
      <c r="D16" s="148">
        <f t="shared" si="6"/>
        <v>11921.65022368421</v>
      </c>
      <c r="E16" s="100">
        <f t="shared" ref="E16:E47" si="9">B16+D16</f>
        <v>26499.754697368422</v>
      </c>
      <c r="F16" s="114">
        <f t="shared" ref="F16:F51" si="10">A16-A15</f>
        <v>184</v>
      </c>
      <c r="G16" s="122"/>
      <c r="H16" s="55">
        <f>SUM(D15:D16)</f>
        <v>24015.403064035087</v>
      </c>
      <c r="K16">
        <f t="shared" si="7"/>
        <v>4</v>
      </c>
    </row>
    <row r="17" spans="1:11">
      <c r="A17" s="145">
        <f t="shared" si="8"/>
        <v>42465</v>
      </c>
      <c r="B17" s="142">
        <f t="shared" si="4"/>
        <v>14578.10447368421</v>
      </c>
      <c r="C17" s="71">
        <f t="shared" si="5"/>
        <v>451921.25210526312</v>
      </c>
      <c r="D17" s="148">
        <f t="shared" si="6"/>
        <v>11423.56498377193</v>
      </c>
      <c r="E17" s="100">
        <f t="shared" si="9"/>
        <v>26001.669457456141</v>
      </c>
      <c r="F17" s="114">
        <f t="shared" si="10"/>
        <v>182</v>
      </c>
      <c r="G17" s="122"/>
      <c r="H17" s="55"/>
      <c r="K17">
        <f t="shared" si="7"/>
        <v>5</v>
      </c>
    </row>
    <row r="18" spans="1:11">
      <c r="A18" s="145">
        <f t="shared" si="8"/>
        <v>42649</v>
      </c>
      <c r="B18" s="142">
        <f t="shared" si="4"/>
        <v>14578.10447368421</v>
      </c>
      <c r="C18" s="71">
        <f t="shared" si="5"/>
        <v>437343.1476315789</v>
      </c>
      <c r="D18" s="148">
        <f t="shared" si="6"/>
        <v>11176.54710614035</v>
      </c>
      <c r="E18" s="100">
        <f t="shared" si="9"/>
        <v>25754.65157982456</v>
      </c>
      <c r="F18" s="114">
        <f t="shared" si="10"/>
        <v>184</v>
      </c>
      <c r="G18" s="122"/>
      <c r="H18" s="55">
        <f>SUM(D17:D18)</f>
        <v>22600.11208991228</v>
      </c>
      <c r="K18">
        <f t="shared" si="7"/>
        <v>6</v>
      </c>
    </row>
    <row r="19" spans="1:11" s="56" customFormat="1">
      <c r="A19" s="145">
        <f t="shared" si="8"/>
        <v>42830</v>
      </c>
      <c r="B19" s="142">
        <f t="shared" si="4"/>
        <v>14578.10447368421</v>
      </c>
      <c r="C19" s="71">
        <f t="shared" si="5"/>
        <v>422765.04315789469</v>
      </c>
      <c r="D19" s="149">
        <f t="shared" si="6"/>
        <v>10627.843446052631</v>
      </c>
      <c r="E19" s="101">
        <f t="shared" si="9"/>
        <v>25205.947919736842</v>
      </c>
      <c r="F19" s="113">
        <f t="shared" si="10"/>
        <v>181</v>
      </c>
      <c r="G19" s="123"/>
      <c r="H19" s="58"/>
      <c r="K19">
        <f t="shared" si="7"/>
        <v>7</v>
      </c>
    </row>
    <row r="20" spans="1:11" s="56" customFormat="1">
      <c r="A20" s="145">
        <f t="shared" si="8"/>
        <v>43014</v>
      </c>
      <c r="B20" s="72">
        <f t="shared" si="4"/>
        <v>14578.10447368421</v>
      </c>
      <c r="C20" s="71">
        <f t="shared" si="5"/>
        <v>408186.93868421047</v>
      </c>
      <c r="D20" s="149">
        <f t="shared" si="6"/>
        <v>10431.443988596491</v>
      </c>
      <c r="E20" s="101">
        <f t="shared" si="9"/>
        <v>25009.548462280702</v>
      </c>
      <c r="F20" s="113">
        <f t="shared" si="10"/>
        <v>184</v>
      </c>
      <c r="G20" s="123"/>
      <c r="H20" s="55">
        <f>SUM(D19:D20)</f>
        <v>21059.287434649123</v>
      </c>
      <c r="K20">
        <f t="shared" si="7"/>
        <v>8</v>
      </c>
    </row>
    <row r="21" spans="1:11" s="56" customFormat="1">
      <c r="A21" s="145">
        <f t="shared" si="8"/>
        <v>43195</v>
      </c>
      <c r="B21" s="72">
        <f t="shared" si="4"/>
        <v>14578.10447368421</v>
      </c>
      <c r="C21" s="71">
        <f t="shared" si="5"/>
        <v>393608.83421052626</v>
      </c>
      <c r="D21" s="149">
        <f t="shared" si="6"/>
        <v>9894.888748903506</v>
      </c>
      <c r="E21" s="101">
        <f t="shared" si="9"/>
        <v>24472.993222587716</v>
      </c>
      <c r="F21" s="113">
        <f t="shared" si="10"/>
        <v>181</v>
      </c>
      <c r="G21" s="123"/>
      <c r="H21" s="58"/>
      <c r="K21">
        <f t="shared" si="7"/>
        <v>9</v>
      </c>
    </row>
    <row r="22" spans="1:11" s="56" customFormat="1">
      <c r="A22" s="145">
        <f t="shared" si="8"/>
        <v>43379</v>
      </c>
      <c r="B22" s="72">
        <f t="shared" si="4"/>
        <v>14578.10447368421</v>
      </c>
      <c r="C22" s="71">
        <f t="shared" si="5"/>
        <v>379030.72973684204</v>
      </c>
      <c r="D22" s="149">
        <f t="shared" si="6"/>
        <v>9686.340871052631</v>
      </c>
      <c r="E22" s="101">
        <f t="shared" si="9"/>
        <v>24264.445344736843</v>
      </c>
      <c r="F22" s="113">
        <f t="shared" si="10"/>
        <v>184</v>
      </c>
      <c r="G22" s="123"/>
      <c r="H22" s="55">
        <f>SUM(D21:D22)</f>
        <v>19581.229619956139</v>
      </c>
      <c r="K22">
        <f t="shared" si="7"/>
        <v>10</v>
      </c>
    </row>
    <row r="23" spans="1:11" s="56" customFormat="1">
      <c r="A23" s="145">
        <f t="shared" si="8"/>
        <v>43560</v>
      </c>
      <c r="B23" s="72">
        <f t="shared" si="4"/>
        <v>14578.10447368421</v>
      </c>
      <c r="C23" s="71">
        <f>C22-B22</f>
        <v>364452.62526315782</v>
      </c>
      <c r="D23" s="149">
        <f t="shared" si="6"/>
        <v>9161.934051754386</v>
      </c>
      <c r="E23" s="101">
        <f t="shared" si="9"/>
        <v>23740.038525438598</v>
      </c>
      <c r="F23" s="113">
        <f t="shared" si="10"/>
        <v>181</v>
      </c>
      <c r="G23" s="123"/>
      <c r="H23" s="58"/>
      <c r="K23">
        <f t="shared" si="7"/>
        <v>11</v>
      </c>
    </row>
    <row r="24" spans="1:11" s="119" customFormat="1">
      <c r="A24" s="145">
        <f t="shared" si="8"/>
        <v>43744</v>
      </c>
      <c r="B24" s="120">
        <f t="shared" si="4"/>
        <v>14578.10447368421</v>
      </c>
      <c r="C24" s="71">
        <f t="shared" si="5"/>
        <v>349874.52078947361</v>
      </c>
      <c r="D24" s="150">
        <f t="shared" si="6"/>
        <v>8941.2377535087708</v>
      </c>
      <c r="E24" s="121">
        <f t="shared" si="9"/>
        <v>23519.342227192981</v>
      </c>
      <c r="F24" s="118">
        <f t="shared" si="10"/>
        <v>184</v>
      </c>
      <c r="G24" s="124"/>
      <c r="H24" s="55">
        <f>SUM(D23:D24)</f>
        <v>18103.171805263155</v>
      </c>
      <c r="K24">
        <f t="shared" si="7"/>
        <v>12</v>
      </c>
    </row>
    <row r="25" spans="1:11" s="56" customFormat="1">
      <c r="A25" s="145">
        <f t="shared" si="8"/>
        <v>43926</v>
      </c>
      <c r="B25" s="72">
        <f t="shared" si="4"/>
        <v>14578.10447368421</v>
      </c>
      <c r="C25" s="71">
        <f t="shared" si="5"/>
        <v>335296.41631578939</v>
      </c>
      <c r="D25" s="149">
        <f t="shared" si="6"/>
        <v>8475.5483013157882</v>
      </c>
      <c r="E25" s="101">
        <f t="shared" si="9"/>
        <v>23053.652774999999</v>
      </c>
      <c r="F25" s="113">
        <f t="shared" si="10"/>
        <v>182</v>
      </c>
      <c r="G25" s="123"/>
      <c r="H25" s="58"/>
      <c r="K25">
        <f t="shared" si="7"/>
        <v>13</v>
      </c>
    </row>
    <row r="26" spans="1:11" s="56" customFormat="1">
      <c r="A26" s="145">
        <f>EOMONTH(A25,6)-25</f>
        <v>44110</v>
      </c>
      <c r="B26" s="72">
        <f t="shared" si="4"/>
        <v>14578.10447368421</v>
      </c>
      <c r="C26" s="71">
        <f t="shared" si="5"/>
        <v>320718.31184210518</v>
      </c>
      <c r="D26" s="149">
        <f t="shared" si="6"/>
        <v>8196.1346359649106</v>
      </c>
      <c r="E26" s="101">
        <f t="shared" si="9"/>
        <v>22774.239109649119</v>
      </c>
      <c r="F26" s="113">
        <f t="shared" si="10"/>
        <v>184</v>
      </c>
      <c r="G26" s="123"/>
      <c r="H26" s="55">
        <f>SUM(D25:D26)</f>
        <v>16671.682937280697</v>
      </c>
      <c r="K26">
        <f t="shared" si="7"/>
        <v>14</v>
      </c>
    </row>
    <row r="27" spans="1:11" s="56" customFormat="1">
      <c r="A27" s="145">
        <f t="shared" si="8"/>
        <v>44291</v>
      </c>
      <c r="B27" s="72">
        <f t="shared" si="4"/>
        <v>14578.10447368421</v>
      </c>
      <c r="C27" s="71">
        <f>C26-B26</f>
        <v>306140.20736842096</v>
      </c>
      <c r="D27" s="149">
        <f t="shared" si="6"/>
        <v>7696.0246574561379</v>
      </c>
      <c r="E27" s="101">
        <f t="shared" si="9"/>
        <v>22274.129131140347</v>
      </c>
      <c r="F27" s="113">
        <f t="shared" si="10"/>
        <v>181</v>
      </c>
      <c r="G27" s="123"/>
      <c r="H27" s="58"/>
      <c r="K27">
        <f t="shared" si="7"/>
        <v>15</v>
      </c>
    </row>
    <row r="28" spans="1:11" s="56" customFormat="1">
      <c r="A28" s="145">
        <f t="shared" si="8"/>
        <v>44475</v>
      </c>
      <c r="B28" s="72">
        <f t="shared" si="4"/>
        <v>14578.10447368421</v>
      </c>
      <c r="C28" s="71">
        <f>C27-B27</f>
        <v>291562.10289473674</v>
      </c>
      <c r="D28" s="149">
        <f t="shared" si="6"/>
        <v>7451.0315184210504</v>
      </c>
      <c r="E28" s="101">
        <f t="shared" si="9"/>
        <v>22029.135992105261</v>
      </c>
      <c r="F28" s="113">
        <f t="shared" si="10"/>
        <v>184</v>
      </c>
      <c r="G28" s="123"/>
      <c r="H28" s="55">
        <f>SUM(D27:D28)</f>
        <v>15147.056175877187</v>
      </c>
      <c r="K28">
        <f t="shared" si="7"/>
        <v>16</v>
      </c>
    </row>
    <row r="29" spans="1:11" s="56" customFormat="1">
      <c r="A29" s="145">
        <f t="shared" si="8"/>
        <v>44656</v>
      </c>
      <c r="B29" s="72">
        <f t="shared" si="4"/>
        <v>14578.10447368421</v>
      </c>
      <c r="C29" s="71">
        <f t="shared" si="5"/>
        <v>276983.99842105253</v>
      </c>
      <c r="D29" s="149">
        <f t="shared" si="6"/>
        <v>6963.0699603070152</v>
      </c>
      <c r="E29" s="101">
        <f t="shared" si="9"/>
        <v>21541.174433991226</v>
      </c>
      <c r="F29" s="113">
        <f t="shared" si="10"/>
        <v>181</v>
      </c>
      <c r="G29" s="123"/>
      <c r="H29" s="58"/>
      <c r="K29">
        <f t="shared" si="7"/>
        <v>17</v>
      </c>
    </row>
    <row r="30" spans="1:11" s="56" customFormat="1">
      <c r="A30" s="145">
        <f t="shared" si="8"/>
        <v>44840</v>
      </c>
      <c r="B30" s="72">
        <f t="shared" si="4"/>
        <v>14578.10447368421</v>
      </c>
      <c r="C30" s="71">
        <f t="shared" si="5"/>
        <v>262405.89394736831</v>
      </c>
      <c r="D30" s="149">
        <f t="shared" si="6"/>
        <v>6705.9284008771901</v>
      </c>
      <c r="E30" s="101">
        <f t="shared" si="9"/>
        <v>21284.032874561402</v>
      </c>
      <c r="F30" s="113">
        <f t="shared" si="10"/>
        <v>184</v>
      </c>
      <c r="G30" s="123"/>
      <c r="H30" s="55">
        <f>SUM(D29:D30)</f>
        <v>13668.998361184205</v>
      </c>
      <c r="K30">
        <f t="shared" si="7"/>
        <v>18</v>
      </c>
    </row>
    <row r="31" spans="1:11" s="56" customFormat="1">
      <c r="A31" s="145">
        <f>EOMONTH(A30,6)-25</f>
        <v>45021</v>
      </c>
      <c r="B31" s="72">
        <f t="shared" si="4"/>
        <v>14578.10447368421</v>
      </c>
      <c r="C31" s="71">
        <f t="shared" si="5"/>
        <v>247827.7894736841</v>
      </c>
      <c r="D31" s="149">
        <f t="shared" si="6"/>
        <v>6230.1152631578916</v>
      </c>
      <c r="E31" s="101">
        <f t="shared" si="9"/>
        <v>20808.219736842104</v>
      </c>
      <c r="F31" s="113">
        <f t="shared" si="10"/>
        <v>181</v>
      </c>
      <c r="G31" s="123"/>
      <c r="H31" s="58"/>
      <c r="K31">
        <f t="shared" si="7"/>
        <v>19</v>
      </c>
    </row>
    <row r="32" spans="1:11" s="56" customFormat="1">
      <c r="A32" s="145">
        <f t="shared" si="8"/>
        <v>45205</v>
      </c>
      <c r="B32" s="72">
        <f t="shared" si="4"/>
        <v>14578.10447368421</v>
      </c>
      <c r="C32" s="71">
        <f t="shared" si="5"/>
        <v>233249.68499999988</v>
      </c>
      <c r="D32" s="149">
        <f t="shared" si="6"/>
        <v>5960.8252833333308</v>
      </c>
      <c r="E32" s="101">
        <f t="shared" si="9"/>
        <v>20538.92975701754</v>
      </c>
      <c r="F32" s="113">
        <f t="shared" si="10"/>
        <v>184</v>
      </c>
      <c r="G32" s="123"/>
      <c r="H32" s="55">
        <f>SUM(D31:D32)</f>
        <v>12190.940546491223</v>
      </c>
      <c r="K32">
        <f t="shared" si="7"/>
        <v>20</v>
      </c>
    </row>
    <row r="33" spans="1:11" s="56" customFormat="1">
      <c r="A33" s="145">
        <f t="shared" si="8"/>
        <v>45387</v>
      </c>
      <c r="B33" s="72">
        <f t="shared" si="4"/>
        <v>14578.10447368421</v>
      </c>
      <c r="C33" s="71">
        <f t="shared" si="5"/>
        <v>218671.58052631567</v>
      </c>
      <c r="D33" s="149">
        <f t="shared" si="6"/>
        <v>5527.5316188596462</v>
      </c>
      <c r="E33" s="101">
        <f t="shared" si="9"/>
        <v>20105.636092543857</v>
      </c>
      <c r="F33" s="113">
        <f t="shared" si="10"/>
        <v>182</v>
      </c>
      <c r="G33" s="123"/>
      <c r="H33" s="58"/>
      <c r="K33">
        <f t="shared" si="7"/>
        <v>21</v>
      </c>
    </row>
    <row r="34" spans="1:11" s="56" customFormat="1">
      <c r="A34" s="145">
        <f t="shared" si="8"/>
        <v>45571</v>
      </c>
      <c r="B34" s="72">
        <f t="shared" si="4"/>
        <v>14578.10447368421</v>
      </c>
      <c r="C34" s="71">
        <f t="shared" si="5"/>
        <v>204093.47605263145</v>
      </c>
      <c r="D34" s="149">
        <f t="shared" si="6"/>
        <v>5215.7221657894706</v>
      </c>
      <c r="E34" s="101">
        <f t="shared" si="9"/>
        <v>19793.826639473682</v>
      </c>
      <c r="F34" s="113">
        <f t="shared" si="10"/>
        <v>184</v>
      </c>
      <c r="G34" s="123"/>
      <c r="H34" s="55">
        <f>SUM(D33:D34)</f>
        <v>10743.253784649118</v>
      </c>
      <c r="K34">
        <f t="shared" si="7"/>
        <v>22</v>
      </c>
    </row>
    <row r="35" spans="1:11" s="56" customFormat="1">
      <c r="A35" s="145">
        <f t="shared" si="8"/>
        <v>45752</v>
      </c>
      <c r="B35" s="72">
        <f t="shared" si="4"/>
        <v>14578.10447368421</v>
      </c>
      <c r="C35" s="71">
        <f t="shared" si="5"/>
        <v>189515.37157894723</v>
      </c>
      <c r="D35" s="149">
        <f t="shared" si="6"/>
        <v>4764.2058688596462</v>
      </c>
      <c r="E35" s="101">
        <f t="shared" si="9"/>
        <v>19342.310342543857</v>
      </c>
      <c r="F35" s="113">
        <f t="shared" si="10"/>
        <v>181</v>
      </c>
      <c r="G35" s="123"/>
      <c r="H35" s="58"/>
      <c r="K35">
        <f t="shared" si="7"/>
        <v>23</v>
      </c>
    </row>
    <row r="36" spans="1:11" s="119" customFormat="1">
      <c r="A36" s="145">
        <f t="shared" si="8"/>
        <v>45936</v>
      </c>
      <c r="B36" s="120">
        <f t="shared" si="4"/>
        <v>14578.10447368421</v>
      </c>
      <c r="C36" s="71">
        <f t="shared" si="5"/>
        <v>174937.26710526302</v>
      </c>
      <c r="D36" s="150">
        <f t="shared" si="6"/>
        <v>4470.6190482456104</v>
      </c>
      <c r="E36" s="121">
        <f t="shared" si="9"/>
        <v>19048.72352192982</v>
      </c>
      <c r="F36" s="118">
        <f t="shared" si="10"/>
        <v>184</v>
      </c>
      <c r="G36" s="124"/>
      <c r="H36" s="55">
        <f>SUM(D35:D36)</f>
        <v>9234.8249171052557</v>
      </c>
      <c r="K36">
        <f t="shared" si="7"/>
        <v>24</v>
      </c>
    </row>
    <row r="37" spans="1:11" s="56" customFormat="1">
      <c r="A37" s="145">
        <f t="shared" si="8"/>
        <v>46117</v>
      </c>
      <c r="B37" s="72">
        <f t="shared" si="4"/>
        <v>14578.10447368421</v>
      </c>
      <c r="C37" s="71">
        <f t="shared" si="5"/>
        <v>160359.1626315788</v>
      </c>
      <c r="D37" s="149">
        <f t="shared" si="6"/>
        <v>4031.2511717105231</v>
      </c>
      <c r="E37" s="101">
        <f t="shared" si="9"/>
        <v>18609.355645394735</v>
      </c>
      <c r="F37" s="113">
        <f t="shared" si="10"/>
        <v>181</v>
      </c>
      <c r="G37" s="123"/>
      <c r="H37" s="58"/>
      <c r="K37">
        <f t="shared" si="7"/>
        <v>25</v>
      </c>
    </row>
    <row r="38" spans="1:11" s="56" customFormat="1">
      <c r="A38" s="145">
        <f t="shared" si="8"/>
        <v>46301</v>
      </c>
      <c r="B38" s="72">
        <f t="shared" si="4"/>
        <v>14578.10447368421</v>
      </c>
      <c r="C38" s="71">
        <f t="shared" si="5"/>
        <v>145781.05815789459</v>
      </c>
      <c r="D38" s="149">
        <f t="shared" si="6"/>
        <v>3725.5159307017507</v>
      </c>
      <c r="E38" s="101">
        <f t="shared" si="9"/>
        <v>18303.620404385962</v>
      </c>
      <c r="F38" s="113">
        <f t="shared" si="10"/>
        <v>184</v>
      </c>
      <c r="G38" s="123"/>
      <c r="H38" s="55">
        <f>SUM(D37:D38)</f>
        <v>7756.7671024122737</v>
      </c>
      <c r="K38">
        <f t="shared" si="7"/>
        <v>26</v>
      </c>
    </row>
    <row r="39" spans="1:11" s="56" customFormat="1">
      <c r="A39" s="145">
        <f>EOMONTH(A38,6)-25</f>
        <v>46482</v>
      </c>
      <c r="B39" s="72">
        <f t="shared" si="4"/>
        <v>14578.10447368421</v>
      </c>
      <c r="C39" s="71">
        <f t="shared" si="5"/>
        <v>131202.95368421037</v>
      </c>
      <c r="D39" s="149">
        <f t="shared" si="6"/>
        <v>3298.2964745613999</v>
      </c>
      <c r="E39" s="101">
        <f t="shared" si="9"/>
        <v>17876.400948245609</v>
      </c>
      <c r="F39" s="113">
        <f t="shared" si="10"/>
        <v>181</v>
      </c>
      <c r="G39" s="123"/>
      <c r="H39" s="58"/>
      <c r="K39">
        <f t="shared" si="7"/>
        <v>27</v>
      </c>
    </row>
    <row r="40" spans="1:11" s="56" customFormat="1">
      <c r="A40" s="145">
        <f t="shared" si="8"/>
        <v>46666</v>
      </c>
      <c r="B40" s="72">
        <f t="shared" si="4"/>
        <v>14578.10447368421</v>
      </c>
      <c r="C40" s="71">
        <f t="shared" si="5"/>
        <v>116624.84921052615</v>
      </c>
      <c r="D40" s="149">
        <f t="shared" si="6"/>
        <v>2980.4128131578905</v>
      </c>
      <c r="E40" s="101">
        <f t="shared" si="9"/>
        <v>17558.5172868421</v>
      </c>
      <c r="F40" s="113">
        <f t="shared" si="10"/>
        <v>184</v>
      </c>
      <c r="G40" s="123"/>
      <c r="H40" s="55">
        <f>SUM(D39:D40)</f>
        <v>6278.7092877192899</v>
      </c>
      <c r="K40">
        <f t="shared" si="7"/>
        <v>28</v>
      </c>
    </row>
    <row r="41" spans="1:11" s="56" customFormat="1">
      <c r="A41" s="145">
        <f t="shared" si="8"/>
        <v>46848</v>
      </c>
      <c r="B41" s="72">
        <f t="shared" si="4"/>
        <v>14578.10447368421</v>
      </c>
      <c r="C41" s="71">
        <f t="shared" si="5"/>
        <v>102046.74473684194</v>
      </c>
      <c r="D41" s="149">
        <f t="shared" si="6"/>
        <v>2579.5149364035046</v>
      </c>
      <c r="E41" s="101">
        <f t="shared" si="9"/>
        <v>17157.619410087715</v>
      </c>
      <c r="F41" s="113">
        <f t="shared" si="10"/>
        <v>182</v>
      </c>
      <c r="G41" s="123"/>
      <c r="H41" s="58"/>
      <c r="K41">
        <f t="shared" si="7"/>
        <v>29</v>
      </c>
    </row>
    <row r="42" spans="1:11" s="56" customFormat="1">
      <c r="A42" s="145">
        <f t="shared" si="8"/>
        <v>47032</v>
      </c>
      <c r="B42" s="72">
        <f t="shared" si="4"/>
        <v>14578.10447368421</v>
      </c>
      <c r="C42" s="71">
        <f t="shared" si="5"/>
        <v>87468.640263157722</v>
      </c>
      <c r="D42" s="149">
        <f t="shared" si="6"/>
        <v>2235.3096956140312</v>
      </c>
      <c r="E42" s="101">
        <f t="shared" si="9"/>
        <v>16813.414169298241</v>
      </c>
      <c r="F42" s="113">
        <f t="shared" si="10"/>
        <v>184</v>
      </c>
      <c r="G42" s="123"/>
      <c r="H42" s="55">
        <f>SUM(D41:D42)</f>
        <v>4814.8246320175358</v>
      </c>
      <c r="K42">
        <f t="shared" si="7"/>
        <v>30</v>
      </c>
    </row>
    <row r="43" spans="1:11" s="56" customFormat="1">
      <c r="A43" s="145">
        <f t="shared" si="8"/>
        <v>47213</v>
      </c>
      <c r="B43" s="72">
        <f t="shared" si="4"/>
        <v>14578.10447368421</v>
      </c>
      <c r="C43" s="71">
        <f t="shared" si="5"/>
        <v>72890.535789473506</v>
      </c>
      <c r="D43" s="149">
        <f t="shared" si="6"/>
        <v>1832.3870802631536</v>
      </c>
      <c r="E43" s="101">
        <f t="shared" si="9"/>
        <v>16410.491553947366</v>
      </c>
      <c r="F43" s="113">
        <f t="shared" si="10"/>
        <v>181</v>
      </c>
      <c r="G43" s="123"/>
      <c r="H43" s="58"/>
      <c r="K43">
        <f t="shared" si="7"/>
        <v>31</v>
      </c>
    </row>
    <row r="44" spans="1:11" s="56" customFormat="1">
      <c r="A44" s="145">
        <f t="shared" si="8"/>
        <v>47397</v>
      </c>
      <c r="B44" s="72">
        <f t="shared" si="4"/>
        <v>14578.10447368421</v>
      </c>
      <c r="C44" s="71">
        <f t="shared" si="5"/>
        <v>58312.431315789298</v>
      </c>
      <c r="D44" s="149">
        <f t="shared" si="6"/>
        <v>1490.2065780701707</v>
      </c>
      <c r="E44" s="101">
        <f t="shared" si="9"/>
        <v>16068.311051754381</v>
      </c>
      <c r="F44" s="113">
        <f t="shared" si="10"/>
        <v>184</v>
      </c>
      <c r="G44" s="123"/>
      <c r="H44" s="55">
        <f>SUM(D43:D44)</f>
        <v>3322.5936583333241</v>
      </c>
      <c r="K44">
        <f t="shared" si="7"/>
        <v>32</v>
      </c>
    </row>
    <row r="45" spans="1:11" s="56" customFormat="1">
      <c r="A45" s="145">
        <f t="shared" si="8"/>
        <v>47578</v>
      </c>
      <c r="B45" s="72">
        <f t="shared" si="4"/>
        <v>14578.10447368421</v>
      </c>
      <c r="C45" s="71">
        <f t="shared" si="5"/>
        <v>43734.326842105089</v>
      </c>
      <c r="D45" s="149">
        <f t="shared" si="6"/>
        <v>1099.4323831140307</v>
      </c>
      <c r="E45" s="101">
        <f t="shared" si="9"/>
        <v>15677.53685679824</v>
      </c>
      <c r="F45" s="113">
        <f t="shared" si="10"/>
        <v>181</v>
      </c>
      <c r="G45" s="123"/>
      <c r="H45" s="58"/>
      <c r="K45">
        <f t="shared" si="7"/>
        <v>33</v>
      </c>
    </row>
    <row r="46" spans="1:11" s="56" customFormat="1">
      <c r="A46" s="145">
        <f t="shared" si="8"/>
        <v>47762</v>
      </c>
      <c r="B46" s="72">
        <f t="shared" si="4"/>
        <v>14578.10447368421</v>
      </c>
      <c r="C46" s="71">
        <f t="shared" si="5"/>
        <v>29156.22236842088</v>
      </c>
      <c r="D46" s="149">
        <f t="shared" si="6"/>
        <v>745.10346052631144</v>
      </c>
      <c r="E46" s="101">
        <f t="shared" si="9"/>
        <v>15323.207934210523</v>
      </c>
      <c r="F46" s="113">
        <f t="shared" si="10"/>
        <v>184</v>
      </c>
      <c r="G46" s="123"/>
      <c r="H46" s="55">
        <f>SUM(D45:D46)</f>
        <v>1844.5358436403421</v>
      </c>
      <c r="K46">
        <f t="shared" si="7"/>
        <v>34</v>
      </c>
    </row>
    <row r="47" spans="1:11" s="56" customFormat="1">
      <c r="A47" s="145">
        <f>EOMONTH(A46,6)-25</f>
        <v>47943</v>
      </c>
      <c r="B47" s="72">
        <f t="shared" si="4"/>
        <v>14578.10447368421</v>
      </c>
      <c r="C47" s="71">
        <f t="shared" si="5"/>
        <v>14578.11789473667</v>
      </c>
      <c r="D47" s="149">
        <f t="shared" si="6"/>
        <v>366.47768596490795</v>
      </c>
      <c r="E47" s="101">
        <f t="shared" si="9"/>
        <v>14944.582159649119</v>
      </c>
      <c r="F47" s="113">
        <f t="shared" si="10"/>
        <v>181</v>
      </c>
      <c r="G47" s="123"/>
      <c r="H47" s="58"/>
      <c r="K47">
        <f t="shared" si="7"/>
        <v>35</v>
      </c>
    </row>
    <row r="48" spans="1:11" s="119" customFormat="1">
      <c r="A48" s="145"/>
      <c r="B48" s="120"/>
      <c r="C48" s="71"/>
      <c r="D48" s="150"/>
      <c r="E48" s="121"/>
      <c r="F48" s="118"/>
      <c r="G48" s="124"/>
      <c r="H48" s="55">
        <f>SUM(D47:D48)</f>
        <v>366.47768596490795</v>
      </c>
      <c r="K48">
        <f t="shared" si="7"/>
        <v>36</v>
      </c>
    </row>
    <row r="49" spans="1:11" s="56" customFormat="1">
      <c r="A49" s="145"/>
      <c r="B49" s="72"/>
      <c r="C49" s="71"/>
      <c r="D49" s="149"/>
      <c r="E49" s="101"/>
      <c r="F49" s="113">
        <f t="shared" si="10"/>
        <v>0</v>
      </c>
      <c r="G49" s="123"/>
      <c r="H49" s="58"/>
      <c r="K49">
        <f t="shared" si="7"/>
        <v>37</v>
      </c>
    </row>
    <row r="50" spans="1:11" s="56" customFormat="1">
      <c r="A50" s="145"/>
      <c r="B50" s="72"/>
      <c r="C50" s="71"/>
      <c r="D50" s="149"/>
      <c r="E50" s="101"/>
      <c r="F50" s="113">
        <f t="shared" si="10"/>
        <v>0</v>
      </c>
      <c r="G50" s="123"/>
      <c r="H50" s="55">
        <f>SUM(D49:D50)</f>
        <v>0</v>
      </c>
      <c r="K50">
        <f t="shared" si="7"/>
        <v>38</v>
      </c>
    </row>
    <row r="51" spans="1:11" s="56" customFormat="1">
      <c r="A51" s="145"/>
      <c r="B51" s="72"/>
      <c r="C51" s="71"/>
      <c r="D51" s="149"/>
      <c r="E51" s="101"/>
      <c r="F51" s="113">
        <f t="shared" si="10"/>
        <v>0</v>
      </c>
      <c r="G51" s="123"/>
      <c r="H51" s="58">
        <f>D51</f>
        <v>0</v>
      </c>
      <c r="K51">
        <f t="shared" si="7"/>
        <v>39</v>
      </c>
    </row>
    <row r="52" spans="1:11" s="56" customFormat="1" ht="13.8" thickBot="1">
      <c r="A52" s="145"/>
      <c r="B52" s="72"/>
      <c r="C52" s="71"/>
      <c r="D52" s="57"/>
      <c r="E52" s="101"/>
      <c r="F52" s="113"/>
      <c r="G52" s="123"/>
      <c r="H52" s="58"/>
    </row>
    <row r="53" spans="1:11" s="56" customFormat="1" ht="13.8" thickBot="1">
      <c r="A53" s="102" t="s">
        <v>40</v>
      </c>
      <c r="B53" s="103">
        <f>SUM(B13:B52)</f>
        <v>510233.6565789475</v>
      </c>
      <c r="C53" s="104"/>
      <c r="D53" s="105">
        <f>SUM(D13:D52)</f>
        <v>232964.19561271922</v>
      </c>
      <c r="E53" s="105">
        <f>SUM(E13:E52)</f>
        <v>743197.85219166661</v>
      </c>
      <c r="F53" s="113"/>
      <c r="G53" s="146"/>
      <c r="H53" s="146">
        <f>SUM(H14:H51)</f>
        <v>232964.19561271917</v>
      </c>
    </row>
    <row r="54" spans="1:11" s="56" customFormat="1">
      <c r="A54" s="107"/>
      <c r="B54" s="108"/>
      <c r="C54" s="107"/>
      <c r="D54" s="109"/>
      <c r="E54" s="109"/>
      <c r="F54" s="89"/>
    </row>
    <row r="55" spans="1:11">
      <c r="A55" t="s">
        <v>50</v>
      </c>
    </row>
    <row r="57" spans="1:11" s="56" customFormat="1">
      <c r="A57" s="107" t="s">
        <v>41</v>
      </c>
      <c r="B57" s="107"/>
      <c r="C57" s="109">
        <f>B53</f>
        <v>510233.6565789475</v>
      </c>
      <c r="D57" s="56" t="s">
        <v>51</v>
      </c>
      <c r="E57" s="109"/>
      <c r="F57" s="107"/>
    </row>
    <row r="58" spans="1:11" s="56" customFormat="1">
      <c r="A58" s="107" t="s">
        <v>32</v>
      </c>
      <c r="B58" s="107"/>
      <c r="C58" s="109">
        <f>D53</f>
        <v>232964.19561271922</v>
      </c>
      <c r="D58" s="56" t="s">
        <v>51</v>
      </c>
      <c r="E58" s="109"/>
      <c r="F58" s="107"/>
    </row>
    <row r="59" spans="1:11" s="56" customFormat="1">
      <c r="A59" s="107" t="s">
        <v>17</v>
      </c>
      <c r="B59" s="107"/>
      <c r="C59" s="109">
        <v>12000</v>
      </c>
      <c r="D59" s="56" t="s">
        <v>51</v>
      </c>
      <c r="E59" s="109"/>
      <c r="F59" s="107"/>
    </row>
    <row r="63" spans="1:11">
      <c r="C63">
        <v>553967.97</v>
      </c>
    </row>
    <row r="65" spans="4:4">
      <c r="D65">
        <f>408000*2.5%</f>
        <v>10200</v>
      </c>
    </row>
  </sheetData>
  <mergeCells count="2">
    <mergeCell ref="B1:H1"/>
    <mergeCell ref="A7:B7"/>
  </mergeCells>
  <pageMargins left="0.31" right="0.2" top="0.16" bottom="0.16" header="0.16" footer="0.16"/>
  <pageSetup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67"/>
  <sheetViews>
    <sheetView workbookViewId="0">
      <selection activeCell="C136" sqref="C136"/>
    </sheetView>
  </sheetViews>
  <sheetFormatPr defaultRowHeight="13.2"/>
  <cols>
    <col min="1" max="1" width="13.109375" customWidth="1"/>
    <col min="2" max="4" width="19.33203125" customWidth="1"/>
    <col min="5" max="5" width="16.77734375" customWidth="1"/>
    <col min="6" max="6" width="18.33203125" customWidth="1"/>
    <col min="7" max="7" width="15.6640625" bestFit="1" customWidth="1"/>
    <col min="8" max="8" width="12.6640625" customWidth="1"/>
    <col min="9" max="11" width="12" bestFit="1" customWidth="1"/>
    <col min="12" max="12" width="10.77734375" bestFit="1" customWidth="1"/>
    <col min="13" max="13" width="13" bestFit="1" customWidth="1"/>
    <col min="14" max="21" width="10.6640625" bestFit="1" customWidth="1"/>
    <col min="22" max="23" width="11.77734375" bestFit="1" customWidth="1"/>
  </cols>
  <sheetData>
    <row r="1" spans="1:24" s="77" customFormat="1" ht="35.1" customHeight="1">
      <c r="A1" s="76"/>
      <c r="B1" s="184" t="str">
        <f>'grad indatorare'!B1:H1</f>
        <v>Primaria Orasului Sinaia</v>
      </c>
      <c r="C1" s="184"/>
      <c r="D1" s="184"/>
      <c r="E1" s="184"/>
      <c r="F1" s="184"/>
      <c r="G1" s="183"/>
      <c r="H1" s="183"/>
    </row>
    <row r="2" spans="1:24" s="81" customFormat="1" ht="17.25" customHeight="1">
      <c r="A2" s="78" t="s">
        <v>46</v>
      </c>
      <c r="B2" s="79"/>
      <c r="C2" s="79"/>
      <c r="D2" s="80"/>
      <c r="E2" s="79"/>
      <c r="F2" s="78"/>
      <c r="G2" s="80"/>
      <c r="H2" s="80"/>
    </row>
    <row r="3" spans="1:24" s="81" customFormat="1" ht="17.25" customHeight="1">
      <c r="A3" s="78"/>
      <c r="B3" s="79"/>
      <c r="C3" s="79"/>
      <c r="D3" s="80"/>
      <c r="E3" s="79"/>
      <c r="F3" s="78"/>
      <c r="G3" s="80"/>
      <c r="H3" s="80"/>
    </row>
    <row r="4" spans="1:24" s="28" customFormat="1" ht="15.6">
      <c r="A4" s="82" t="s">
        <v>52</v>
      </c>
      <c r="B4" s="27"/>
      <c r="C4" s="110">
        <f>157400.17*108</f>
        <v>16999218.360000003</v>
      </c>
      <c r="D4" s="27" t="s">
        <v>51</v>
      </c>
      <c r="E4" s="27"/>
    </row>
    <row r="5" spans="1:24" s="28" customFormat="1" hidden="1">
      <c r="A5" s="31" t="s">
        <v>19</v>
      </c>
      <c r="C5" s="32">
        <v>4000000</v>
      </c>
      <c r="E5" s="29"/>
      <c r="F5" s="30"/>
    </row>
    <row r="6" spans="1:24" s="28" customFormat="1" hidden="1">
      <c r="B6" s="33"/>
      <c r="C6" s="33"/>
      <c r="D6" s="34"/>
      <c r="E6" s="35"/>
      <c r="F6" s="36"/>
      <c r="H6" s="38"/>
    </row>
    <row r="7" spans="1:24" s="28" customFormat="1">
      <c r="A7" s="380" t="s">
        <v>47</v>
      </c>
      <c r="B7" s="381"/>
      <c r="C7" s="37">
        <f>F7+C8</f>
        <v>8.0199999999999994E-2</v>
      </c>
      <c r="D7" s="83" t="s">
        <v>134</v>
      </c>
      <c r="F7" s="84">
        <f>'1.BCR ref 2.2 mil. ron'!D5</f>
        <v>6.0199999999999997E-2</v>
      </c>
      <c r="H7" s="38"/>
      <c r="I7" s="46"/>
      <c r="J7" s="46"/>
      <c r="K7" s="46">
        <v>2017</v>
      </c>
      <c r="L7" s="46">
        <f>K7+1</f>
        <v>2018</v>
      </c>
      <c r="M7" s="46">
        <f t="shared" ref="M7:R7" si="0">L7+1</f>
        <v>2019</v>
      </c>
      <c r="N7" s="46">
        <f t="shared" si="0"/>
        <v>2020</v>
      </c>
      <c r="O7" s="46">
        <f t="shared" si="0"/>
        <v>2021</v>
      </c>
      <c r="P7" s="46">
        <f t="shared" si="0"/>
        <v>2022</v>
      </c>
      <c r="Q7" s="46">
        <f t="shared" si="0"/>
        <v>2023</v>
      </c>
      <c r="R7" s="46">
        <f t="shared" si="0"/>
        <v>2024</v>
      </c>
      <c r="S7" s="46">
        <f>R7+1</f>
        <v>2025</v>
      </c>
      <c r="T7" s="46"/>
      <c r="U7" s="46"/>
      <c r="V7" s="46">
        <f>U7+1</f>
        <v>1</v>
      </c>
      <c r="W7" s="46"/>
    </row>
    <row r="8" spans="1:24" s="28" customFormat="1">
      <c r="A8" s="39" t="s">
        <v>22</v>
      </c>
      <c r="C8" s="37">
        <v>0.02</v>
      </c>
      <c r="D8" s="29"/>
      <c r="E8" s="35"/>
      <c r="F8" s="37"/>
      <c r="I8" s="64"/>
      <c r="J8" s="63" t="s">
        <v>53</v>
      </c>
      <c r="K8" s="116">
        <f>G61</f>
        <v>1888802.0399999998</v>
      </c>
      <c r="L8" s="116">
        <f>G73</f>
        <v>1888802.0399999998</v>
      </c>
      <c r="M8" s="116">
        <f>G85</f>
        <v>1888802.0399999998</v>
      </c>
      <c r="N8" s="116">
        <f>G97</f>
        <v>1888802.0399999998</v>
      </c>
      <c r="O8" s="116">
        <f>G109</f>
        <v>1888802.0399999998</v>
      </c>
      <c r="P8" s="116">
        <f>G121</f>
        <v>1888802.0399999998</v>
      </c>
      <c r="Q8" s="116">
        <f>G133</f>
        <v>1888802.0399999998</v>
      </c>
      <c r="R8" s="116">
        <f>G145</f>
        <v>1888802.0399999998</v>
      </c>
      <c r="S8" s="116">
        <f>G152</f>
        <v>944399.02000000014</v>
      </c>
      <c r="T8" s="116"/>
      <c r="U8" s="116"/>
      <c r="W8" s="116">
        <f>SUM(L8:U8)</f>
        <v>14166013.299999997</v>
      </c>
      <c r="X8" s="88"/>
    </row>
    <row r="9" spans="1:24" s="28" customFormat="1">
      <c r="A9" s="85" t="s">
        <v>17</v>
      </c>
      <c r="B9" s="37"/>
      <c r="C9" s="37"/>
      <c r="D9" s="86"/>
      <c r="E9" s="188"/>
      <c r="F9" s="37"/>
      <c r="I9" s="64"/>
      <c r="J9" s="63" t="s">
        <v>20</v>
      </c>
      <c r="K9" s="116">
        <f>H61</f>
        <v>1234753.0037056725</v>
      </c>
      <c r="L9" s="116">
        <f>H73</f>
        <v>1081167.1644920055</v>
      </c>
      <c r="M9" s="116">
        <f>H85</f>
        <v>927581.32527833921</v>
      </c>
      <c r="N9" s="116">
        <f>H97</f>
        <v>776274.72797081142</v>
      </c>
      <c r="O9" s="88">
        <f>H109</f>
        <v>620409.64685100585</v>
      </c>
      <c r="P9" s="88">
        <f>H121</f>
        <v>466823.80763733946</v>
      </c>
      <c r="Q9" s="88">
        <f>H133</f>
        <v>313237.96842367278</v>
      </c>
      <c r="R9" s="88">
        <f>H145</f>
        <v>160248.23863161181</v>
      </c>
      <c r="S9" s="88">
        <f>H152</f>
        <v>22161.244379689237</v>
      </c>
      <c r="T9" s="88"/>
      <c r="U9" s="88"/>
      <c r="W9" s="116">
        <f>SUM(K9:U9)</f>
        <v>5602657.127370148</v>
      </c>
      <c r="X9" s="88"/>
    </row>
    <row r="10" spans="1:24" s="41" customFormat="1">
      <c r="A10" s="39" t="s">
        <v>23</v>
      </c>
      <c r="B10" s="37"/>
      <c r="C10" s="37"/>
      <c r="D10" s="88">
        <v>0</v>
      </c>
      <c r="E10" s="40"/>
      <c r="F10" s="42"/>
      <c r="J10" s="41" t="s">
        <v>21</v>
      </c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</row>
    <row r="11" spans="1:24" s="41" customFormat="1">
      <c r="A11" s="383" t="s">
        <v>24</v>
      </c>
      <c r="B11" s="381"/>
      <c r="C11"/>
      <c r="D11" s="28">
        <v>12</v>
      </c>
      <c r="E11" s="40" t="s">
        <v>25</v>
      </c>
      <c r="F11" s="42"/>
    </row>
    <row r="12" spans="1:24" s="28" customFormat="1">
      <c r="A12" s="383" t="s">
        <v>26</v>
      </c>
      <c r="B12" s="381"/>
      <c r="C12"/>
      <c r="D12" s="28">
        <f>9*12</f>
        <v>108</v>
      </c>
      <c r="E12" s="43" t="s">
        <v>25</v>
      </c>
      <c r="F12" s="44"/>
      <c r="H12" s="45"/>
    </row>
    <row r="13" spans="1:24" s="28" customFormat="1" ht="13.8" thickBot="1">
      <c r="A13" s="39"/>
      <c r="B13"/>
      <c r="C13"/>
      <c r="E13" s="43"/>
      <c r="F13" s="44"/>
      <c r="G13" s="111"/>
      <c r="H13" s="112"/>
    </row>
    <row r="14" spans="1:24" ht="28.2" thickBot="1">
      <c r="A14" s="47" t="s">
        <v>27</v>
      </c>
      <c r="B14" s="48" t="s">
        <v>28</v>
      </c>
      <c r="C14" s="48" t="s">
        <v>29</v>
      </c>
      <c r="D14" s="48" t="s">
        <v>30</v>
      </c>
      <c r="E14" s="48" t="s">
        <v>31</v>
      </c>
      <c r="F14" s="49" t="s">
        <v>32</v>
      </c>
      <c r="G14" s="113"/>
      <c r="H14" s="114"/>
    </row>
    <row r="15" spans="1:24">
      <c r="A15" s="90">
        <v>41850</v>
      </c>
      <c r="B15" s="91">
        <f>C4</f>
        <v>16999218.360000003</v>
      </c>
      <c r="C15" s="92">
        <v>0</v>
      </c>
      <c r="D15" s="93">
        <f>C15</f>
        <v>0</v>
      </c>
      <c r="E15" s="94">
        <f>A16</f>
        <v>41882</v>
      </c>
      <c r="F15" s="95">
        <f t="shared" ref="F15:F26" si="1">D15*$C$7*G15/360</f>
        <v>0</v>
      </c>
      <c r="G15" s="113">
        <f>E15-A15</f>
        <v>32</v>
      </c>
      <c r="H15" s="114"/>
    </row>
    <row r="16" spans="1:24">
      <c r="A16" s="96">
        <f>EOMONTH(A15,1)</f>
        <v>41882</v>
      </c>
      <c r="B16" s="52">
        <f>B15</f>
        <v>16999218.360000003</v>
      </c>
      <c r="C16" s="53">
        <f>B15*0</f>
        <v>0</v>
      </c>
      <c r="D16" s="51">
        <f t="shared" ref="D16:D26" si="2">D15+C16</f>
        <v>0</v>
      </c>
      <c r="E16" s="54">
        <f>A17</f>
        <v>41912</v>
      </c>
      <c r="F16" s="97">
        <f>D16*$C$7*G16/360</f>
        <v>0</v>
      </c>
      <c r="G16" s="113">
        <f>E16-A16</f>
        <v>30</v>
      </c>
      <c r="H16" s="114"/>
    </row>
    <row r="17" spans="1:12">
      <c r="A17" s="96">
        <f t="shared" ref="A17:A26" si="3">EOMONTH(A16,1)</f>
        <v>41912</v>
      </c>
      <c r="B17" s="52">
        <f t="shared" ref="B17:B26" si="4">B16-C16</f>
        <v>16999218.360000003</v>
      </c>
      <c r="C17" s="53">
        <v>0</v>
      </c>
      <c r="D17" s="51">
        <f t="shared" si="2"/>
        <v>0</v>
      </c>
      <c r="E17" s="54">
        <f t="shared" ref="E17:E26" si="5">EOMONTH(E16,1)</f>
        <v>41943</v>
      </c>
      <c r="F17" s="97">
        <f t="shared" si="1"/>
        <v>0</v>
      </c>
      <c r="G17" s="113">
        <f t="shared" ref="G17:G26" si="6">E17-A17</f>
        <v>31</v>
      </c>
      <c r="H17" s="114"/>
      <c r="K17">
        <v>16366.277777777777</v>
      </c>
      <c r="L17">
        <f>F17-K17</f>
        <v>-16366.277777777777</v>
      </c>
    </row>
    <row r="18" spans="1:12">
      <c r="A18" s="96">
        <f t="shared" si="3"/>
        <v>41943</v>
      </c>
      <c r="B18" s="52">
        <f t="shared" si="4"/>
        <v>16999218.360000003</v>
      </c>
      <c r="C18" s="53">
        <v>0</v>
      </c>
      <c r="D18" s="51">
        <f t="shared" si="2"/>
        <v>0</v>
      </c>
      <c r="E18" s="54">
        <f t="shared" si="5"/>
        <v>41973</v>
      </c>
      <c r="F18" s="97">
        <f t="shared" si="1"/>
        <v>0</v>
      </c>
      <c r="G18" s="113">
        <f t="shared" si="6"/>
        <v>30</v>
      </c>
      <c r="H18" s="114"/>
      <c r="K18">
        <v>63353.333333333336</v>
      </c>
      <c r="L18">
        <f t="shared" ref="L18:L26" si="7">F18-K18</f>
        <v>-63353.333333333336</v>
      </c>
    </row>
    <row r="19" spans="1:12">
      <c r="A19" s="96">
        <f t="shared" si="3"/>
        <v>41973</v>
      </c>
      <c r="B19" s="52">
        <f t="shared" si="4"/>
        <v>16999218.360000003</v>
      </c>
      <c r="C19" s="53">
        <v>0</v>
      </c>
      <c r="D19" s="51">
        <f t="shared" si="2"/>
        <v>0</v>
      </c>
      <c r="E19" s="54">
        <f t="shared" si="5"/>
        <v>42004</v>
      </c>
      <c r="F19" s="97">
        <f t="shared" si="1"/>
        <v>0</v>
      </c>
      <c r="G19" s="113">
        <f t="shared" si="6"/>
        <v>31</v>
      </c>
      <c r="H19" s="114"/>
      <c r="K19">
        <v>114563.94444444444</v>
      </c>
      <c r="L19">
        <f t="shared" si="7"/>
        <v>-114563.94444444444</v>
      </c>
    </row>
    <row r="20" spans="1:12">
      <c r="A20" s="96">
        <f t="shared" si="3"/>
        <v>42004</v>
      </c>
      <c r="B20" s="52">
        <f t="shared" si="4"/>
        <v>16999218.360000003</v>
      </c>
      <c r="C20" s="53">
        <v>0</v>
      </c>
      <c r="D20" s="51">
        <f t="shared" si="2"/>
        <v>0</v>
      </c>
      <c r="E20" s="54">
        <f t="shared" si="5"/>
        <v>42035</v>
      </c>
      <c r="F20" s="97">
        <f t="shared" si="1"/>
        <v>0</v>
      </c>
      <c r="G20" s="113">
        <f t="shared" si="6"/>
        <v>31</v>
      </c>
      <c r="H20" s="114"/>
      <c r="K20">
        <v>163662.77777777778</v>
      </c>
      <c r="L20">
        <f t="shared" si="7"/>
        <v>-163662.77777777778</v>
      </c>
    </row>
    <row r="21" spans="1:12">
      <c r="A21" s="96">
        <f t="shared" si="3"/>
        <v>42035</v>
      </c>
      <c r="B21" s="52">
        <f t="shared" si="4"/>
        <v>16999218.360000003</v>
      </c>
      <c r="C21" s="53">
        <v>0</v>
      </c>
      <c r="D21" s="51">
        <f t="shared" si="2"/>
        <v>0</v>
      </c>
      <c r="E21" s="54">
        <f t="shared" si="5"/>
        <v>42063</v>
      </c>
      <c r="F21" s="97">
        <f t="shared" si="1"/>
        <v>0</v>
      </c>
      <c r="G21" s="113">
        <f t="shared" si="6"/>
        <v>28</v>
      </c>
      <c r="H21" s="114"/>
      <c r="K21">
        <v>147824.44444444444</v>
      </c>
      <c r="L21">
        <f t="shared" si="7"/>
        <v>-147824.44444444444</v>
      </c>
    </row>
    <row r="22" spans="1:12">
      <c r="A22" s="96">
        <f t="shared" si="3"/>
        <v>42063</v>
      </c>
      <c r="B22" s="52">
        <f t="shared" si="4"/>
        <v>16999218.360000003</v>
      </c>
      <c r="C22" s="53">
        <v>0</v>
      </c>
      <c r="D22" s="51">
        <f t="shared" si="2"/>
        <v>0</v>
      </c>
      <c r="E22" s="54">
        <f t="shared" si="5"/>
        <v>42094</v>
      </c>
      <c r="F22" s="97">
        <f t="shared" si="1"/>
        <v>0</v>
      </c>
      <c r="G22" s="113">
        <f t="shared" si="6"/>
        <v>31</v>
      </c>
      <c r="H22" s="114"/>
      <c r="K22">
        <v>163662.77777777778</v>
      </c>
      <c r="L22">
        <f t="shared" si="7"/>
        <v>-163662.77777777778</v>
      </c>
    </row>
    <row r="23" spans="1:12">
      <c r="A23" s="96">
        <f t="shared" si="3"/>
        <v>42094</v>
      </c>
      <c r="B23" s="52">
        <f t="shared" si="4"/>
        <v>16999218.360000003</v>
      </c>
      <c r="C23" s="53">
        <v>0</v>
      </c>
      <c r="D23" s="51">
        <f t="shared" si="2"/>
        <v>0</v>
      </c>
      <c r="E23" s="54">
        <f t="shared" si="5"/>
        <v>42124</v>
      </c>
      <c r="F23" s="97">
        <f t="shared" si="1"/>
        <v>0</v>
      </c>
      <c r="G23" s="113">
        <f t="shared" si="6"/>
        <v>30</v>
      </c>
      <c r="H23" s="114"/>
      <c r="K23">
        <v>158383.33333333334</v>
      </c>
      <c r="L23">
        <f t="shared" si="7"/>
        <v>-158383.33333333334</v>
      </c>
    </row>
    <row r="24" spans="1:12" s="119" customFormat="1">
      <c r="A24" s="96">
        <f t="shared" si="3"/>
        <v>42124</v>
      </c>
      <c r="B24" s="57">
        <f t="shared" si="4"/>
        <v>16999218.360000003</v>
      </c>
      <c r="C24" s="185">
        <v>0</v>
      </c>
      <c r="D24" s="51">
        <f t="shared" si="2"/>
        <v>0</v>
      </c>
      <c r="E24" s="186">
        <f t="shared" si="5"/>
        <v>42155</v>
      </c>
      <c r="F24" s="187">
        <f t="shared" si="1"/>
        <v>0</v>
      </c>
      <c r="G24" s="113">
        <f t="shared" si="6"/>
        <v>31</v>
      </c>
      <c r="H24" s="113"/>
      <c r="I24" s="58">
        <v>0</v>
      </c>
      <c r="J24" s="58">
        <f>SUM(F15:F20)</f>
        <v>0</v>
      </c>
      <c r="K24">
        <v>163662.77777777778</v>
      </c>
      <c r="L24">
        <f t="shared" si="7"/>
        <v>-163662.77777777778</v>
      </c>
    </row>
    <row r="25" spans="1:12">
      <c r="A25" s="96">
        <f t="shared" si="3"/>
        <v>42155</v>
      </c>
      <c r="B25" s="52">
        <f t="shared" si="4"/>
        <v>16999218.360000003</v>
      </c>
      <c r="C25" s="53">
        <v>7000000</v>
      </c>
      <c r="D25" s="51">
        <f t="shared" si="2"/>
        <v>7000000</v>
      </c>
      <c r="E25" s="54">
        <f t="shared" si="5"/>
        <v>42185</v>
      </c>
      <c r="F25" s="97">
        <f>D25*$C$7*G25/360</f>
        <v>46783.333333333336</v>
      </c>
      <c r="G25" s="113">
        <f t="shared" si="6"/>
        <v>30</v>
      </c>
      <c r="H25" s="114"/>
      <c r="I25" s="55"/>
      <c r="J25" s="55"/>
      <c r="K25">
        <v>158383.33333333334</v>
      </c>
      <c r="L25">
        <f t="shared" si="7"/>
        <v>-111600</v>
      </c>
    </row>
    <row r="26" spans="1:12">
      <c r="A26" s="96">
        <f t="shared" si="3"/>
        <v>42185</v>
      </c>
      <c r="B26" s="52">
        <f t="shared" si="4"/>
        <v>9999218.3600000031</v>
      </c>
      <c r="C26" s="53">
        <v>10000000</v>
      </c>
      <c r="D26" s="51">
        <f t="shared" si="2"/>
        <v>17000000</v>
      </c>
      <c r="E26" s="54">
        <f t="shared" si="5"/>
        <v>42216</v>
      </c>
      <c r="F26" s="97">
        <f t="shared" si="1"/>
        <v>117403.88888888889</v>
      </c>
      <c r="G26" s="113">
        <f t="shared" si="6"/>
        <v>31</v>
      </c>
      <c r="H26" s="114"/>
      <c r="I26" s="55">
        <v>0</v>
      </c>
      <c r="J26" s="55">
        <f>SUM(F21:F26)</f>
        <v>164187.22222222222</v>
      </c>
      <c r="K26" s="56">
        <v>163662.77777777778</v>
      </c>
      <c r="L26">
        <f t="shared" si="7"/>
        <v>-46258.888888888891</v>
      </c>
    </row>
    <row r="27" spans="1:12" ht="13.8" thickBot="1">
      <c r="A27" s="59" t="s">
        <v>33</v>
      </c>
      <c r="B27" s="60"/>
      <c r="C27" s="60">
        <f>SUM(C15:C26)</f>
        <v>17000000</v>
      </c>
      <c r="D27" s="60">
        <f>D22</f>
        <v>0</v>
      </c>
      <c r="E27" s="61"/>
      <c r="F27" s="62">
        <f>SUM(F15:F26)</f>
        <v>164187.22222222222</v>
      </c>
      <c r="G27" s="113"/>
      <c r="H27" s="114"/>
    </row>
    <row r="28" spans="1:12">
      <c r="A28" t="s">
        <v>48</v>
      </c>
    </row>
    <row r="29" spans="1:12" s="28" customFormat="1">
      <c r="A29" s="39"/>
      <c r="B29"/>
      <c r="C29"/>
      <c r="E29" s="43"/>
      <c r="F29" s="44"/>
      <c r="H29" s="45"/>
    </row>
    <row r="30" spans="1:12" s="77" customFormat="1" ht="35.1" customHeight="1">
      <c r="A30" s="98"/>
      <c r="B30" s="184" t="str">
        <f>'grad indatorare'!B1:H1</f>
        <v>Primaria Orasului Sinaia</v>
      </c>
      <c r="C30" s="184"/>
      <c r="D30" s="184"/>
      <c r="E30" s="184"/>
      <c r="F30" s="184"/>
      <c r="G30" s="184"/>
      <c r="H30" s="184"/>
    </row>
    <row r="31" spans="1:12" s="81" customFormat="1" ht="17.25" customHeight="1">
      <c r="A31" s="78" t="s">
        <v>49</v>
      </c>
      <c r="B31" s="79"/>
      <c r="C31" s="79"/>
      <c r="D31" s="80"/>
      <c r="E31" s="79"/>
      <c r="F31" s="78"/>
      <c r="G31" s="80"/>
      <c r="H31" s="80"/>
    </row>
    <row r="32" spans="1:12" s="28" customFormat="1" ht="15.6">
      <c r="A32" s="82"/>
      <c r="B32" s="27"/>
      <c r="C32" s="27"/>
      <c r="D32" s="27"/>
      <c r="E32" s="27"/>
    </row>
    <row r="33" spans="1:14" s="28" customFormat="1" hidden="1">
      <c r="A33" s="31" t="s">
        <v>19</v>
      </c>
      <c r="C33" s="32">
        <v>4000000</v>
      </c>
      <c r="E33" s="29"/>
      <c r="F33" s="30"/>
    </row>
    <row r="34" spans="1:14" s="28" customFormat="1" hidden="1">
      <c r="B34" s="33"/>
      <c r="C34" s="33"/>
      <c r="D34" s="34"/>
      <c r="E34" s="35"/>
      <c r="F34" s="36"/>
      <c r="H34" s="38"/>
    </row>
    <row r="35" spans="1:14" s="28" customFormat="1">
      <c r="A35" s="380" t="s">
        <v>47</v>
      </c>
      <c r="B35" s="381"/>
      <c r="C35" s="37">
        <f>F35+C36</f>
        <v>8.0199999999999994E-2</v>
      </c>
      <c r="D35" s="83" t="str">
        <f>D7</f>
        <v>Robor1M</v>
      </c>
      <c r="F35" s="84">
        <f>F7</f>
        <v>6.0199999999999997E-2</v>
      </c>
      <c r="H35" s="38"/>
      <c r="I35" s="46"/>
      <c r="J35" s="46"/>
      <c r="K35" s="46"/>
      <c r="L35" s="46"/>
      <c r="M35" s="46"/>
      <c r="N35" s="46"/>
    </row>
    <row r="36" spans="1:14" s="28" customFormat="1">
      <c r="A36" s="39" t="s">
        <v>22</v>
      </c>
      <c r="C36" s="37">
        <f>C8</f>
        <v>0.02</v>
      </c>
      <c r="D36" s="29"/>
      <c r="E36" s="35"/>
      <c r="F36" s="37"/>
      <c r="I36" s="64"/>
      <c r="J36" s="64"/>
      <c r="K36" s="64"/>
      <c r="L36" s="64"/>
      <c r="M36" s="64"/>
      <c r="N36" s="64"/>
    </row>
    <row r="37" spans="1:14" s="28" customFormat="1">
      <c r="A37" s="85" t="s">
        <v>56</v>
      </c>
      <c r="B37" s="37"/>
      <c r="C37" s="37"/>
      <c r="D37" s="99">
        <v>0.03</v>
      </c>
      <c r="E37" s="35"/>
      <c r="F37" s="37"/>
      <c r="I37" s="64"/>
      <c r="J37" s="64"/>
      <c r="K37" s="64"/>
      <c r="L37" s="64"/>
      <c r="M37" s="64"/>
      <c r="N37" s="64"/>
    </row>
    <row r="38" spans="1:14" s="41" customFormat="1">
      <c r="A38" s="39" t="s">
        <v>23</v>
      </c>
      <c r="B38" s="37"/>
      <c r="C38" s="37"/>
      <c r="D38" s="88">
        <v>0</v>
      </c>
      <c r="E38" s="40"/>
      <c r="F38" s="42"/>
    </row>
    <row r="39" spans="1:14" s="41" customFormat="1">
      <c r="A39" s="383" t="s">
        <v>24</v>
      </c>
      <c r="B39" s="381"/>
      <c r="C39"/>
      <c r="D39" s="28">
        <v>12</v>
      </c>
      <c r="E39" s="40" t="s">
        <v>25</v>
      </c>
      <c r="F39" s="42"/>
    </row>
    <row r="40" spans="1:14" s="28" customFormat="1">
      <c r="A40" s="383" t="s">
        <v>26</v>
      </c>
      <c r="B40" s="381"/>
      <c r="C40"/>
      <c r="D40" s="28">
        <f>9*12</f>
        <v>108</v>
      </c>
      <c r="E40" s="43" t="s">
        <v>25</v>
      </c>
      <c r="F40" s="44"/>
      <c r="H40" s="45"/>
    </row>
    <row r="41" spans="1:14" ht="13.8" thickBot="1">
      <c r="A41" s="65"/>
      <c r="B41" s="66"/>
      <c r="C41" s="66"/>
      <c r="D41" s="66"/>
      <c r="E41" s="66"/>
      <c r="F41" s="67"/>
    </row>
    <row r="42" spans="1:14" ht="14.4" thickBot="1">
      <c r="A42" s="68" t="s">
        <v>34</v>
      </c>
      <c r="B42" s="69" t="s">
        <v>35</v>
      </c>
      <c r="C42" s="69" t="s">
        <v>36</v>
      </c>
      <c r="D42" s="69" t="s">
        <v>32</v>
      </c>
      <c r="E42" s="70" t="s">
        <v>37</v>
      </c>
      <c r="F42" s="114"/>
      <c r="G42" s="122"/>
      <c r="H42" s="55"/>
    </row>
    <row r="43" spans="1:14" ht="13.8">
      <c r="A43" s="139" t="s">
        <v>38</v>
      </c>
      <c r="B43" s="140">
        <v>2</v>
      </c>
      <c r="C43" s="140">
        <v>3</v>
      </c>
      <c r="D43" s="140">
        <v>4</v>
      </c>
      <c r="E43" s="141" t="s">
        <v>39</v>
      </c>
      <c r="F43" s="115">
        <v>42551</v>
      </c>
      <c r="G43" s="122"/>
      <c r="H43" s="55"/>
    </row>
    <row r="44" spans="1:14">
      <c r="A44" s="145">
        <v>42582</v>
      </c>
      <c r="B44" s="142">
        <f>C4/9/12</f>
        <v>157400.17000000001</v>
      </c>
      <c r="C44" s="142">
        <f>C4</f>
        <v>16999218.360000003</v>
      </c>
      <c r="D44" s="143">
        <f>(C44*F44*$C$7)/360</f>
        <v>117398.4907962</v>
      </c>
      <c r="E44" s="144">
        <f>B44+D44</f>
        <v>274798.66079620004</v>
      </c>
      <c r="F44" s="114">
        <f>A44-F43</f>
        <v>31</v>
      </c>
      <c r="G44" s="122"/>
      <c r="H44" s="55"/>
      <c r="I44">
        <f>C44*$D$37/360</f>
        <v>1416.6015300000001</v>
      </c>
      <c r="L44">
        <v>163662.77777777778</v>
      </c>
      <c r="M44" s="200">
        <f>D44-L44</f>
        <v>-46264.286981577781</v>
      </c>
    </row>
    <row r="45" spans="1:14">
      <c r="A45" s="145">
        <f>EOMONTH(A44,1)</f>
        <v>42613</v>
      </c>
      <c r="B45" s="142">
        <f t="shared" ref="B45:B108" si="8">B44</f>
        <v>157400.17000000001</v>
      </c>
      <c r="C45" s="71">
        <f>C44-B44</f>
        <v>16841818.190000001</v>
      </c>
      <c r="D45" s="52">
        <f>(C45*F45*$C$7)/360</f>
        <v>116311.46773327222</v>
      </c>
      <c r="E45" s="100">
        <f>B45+D45</f>
        <v>273711.63773327222</v>
      </c>
      <c r="F45" s="114">
        <f>A45-A44</f>
        <v>31</v>
      </c>
      <c r="G45" s="122"/>
      <c r="H45" s="55"/>
      <c r="L45">
        <v>156916.82101008331</v>
      </c>
      <c r="M45" s="200">
        <f t="shared" ref="M45:M108" si="9">D45-L45</f>
        <v>-40605.353276811089</v>
      </c>
    </row>
    <row r="46" spans="1:14">
      <c r="A46" s="145">
        <f>EOMONTH(A45,1)</f>
        <v>42643</v>
      </c>
      <c r="B46" s="142">
        <f t="shared" si="8"/>
        <v>157400.17000000001</v>
      </c>
      <c r="C46" s="71">
        <f t="shared" ref="C46:C109" si="10">C45-B45</f>
        <v>16684418.020000001</v>
      </c>
      <c r="D46" s="143">
        <f t="shared" ref="D46:D109" si="11">(C46*F46*$C$7)/360</f>
        <v>111507.52710033332</v>
      </c>
      <c r="E46" s="144">
        <f>B46+D46</f>
        <v>268907.69710033335</v>
      </c>
      <c r="F46" s="114">
        <f>A46-A45</f>
        <v>30</v>
      </c>
      <c r="G46" s="122"/>
      <c r="H46" s="55"/>
      <c r="L46">
        <v>160631.98564306111</v>
      </c>
      <c r="M46" s="200">
        <f t="shared" si="9"/>
        <v>-49124.458542727793</v>
      </c>
    </row>
    <row r="47" spans="1:14">
      <c r="A47" s="145">
        <f>EOMONTH(A46,1)</f>
        <v>42674</v>
      </c>
      <c r="B47" s="142">
        <f t="shared" si="8"/>
        <v>157400.17000000001</v>
      </c>
      <c r="C47" s="71">
        <f t="shared" si="10"/>
        <v>16527017.850000001</v>
      </c>
      <c r="D47" s="52">
        <f t="shared" si="11"/>
        <v>114137.42160741666</v>
      </c>
      <c r="E47" s="100">
        <f t="shared" ref="E47:E110" si="12">B47+D47</f>
        <v>271537.59160741669</v>
      </c>
      <c r="F47" s="114">
        <f t="shared" ref="F47:F110" si="13">A47-A46</f>
        <v>31</v>
      </c>
      <c r="G47" s="122"/>
      <c r="H47" s="55"/>
      <c r="L47">
        <v>153983.79636358333</v>
      </c>
      <c r="M47" s="200">
        <f t="shared" si="9"/>
        <v>-39846.374756166668</v>
      </c>
    </row>
    <row r="48" spans="1:14">
      <c r="A48" s="96">
        <f t="shared" ref="A48:A110" si="14">EOMONTH(A47,1)</f>
        <v>42704</v>
      </c>
      <c r="B48" s="142">
        <f t="shared" si="8"/>
        <v>157400.17000000001</v>
      </c>
      <c r="C48" s="71">
        <f t="shared" si="10"/>
        <v>16369617.680000002</v>
      </c>
      <c r="D48" s="52">
        <f t="shared" si="11"/>
        <v>109403.61149466666</v>
      </c>
      <c r="E48" s="100">
        <f t="shared" si="12"/>
        <v>266803.78149466671</v>
      </c>
      <c r="F48" s="114">
        <f t="shared" si="13"/>
        <v>30</v>
      </c>
      <c r="G48" s="122"/>
      <c r="H48" s="55"/>
      <c r="L48">
        <v>157601.19350834444</v>
      </c>
      <c r="M48" s="200">
        <f t="shared" si="9"/>
        <v>-48197.582013677777</v>
      </c>
    </row>
    <row r="49" spans="1:13" s="173" customFormat="1">
      <c r="A49" s="166">
        <f t="shared" si="14"/>
        <v>42735</v>
      </c>
      <c r="B49" s="176">
        <f t="shared" si="8"/>
        <v>157400.17000000001</v>
      </c>
      <c r="C49" s="167">
        <f t="shared" si="10"/>
        <v>16212217.510000002</v>
      </c>
      <c r="D49" s="168">
        <f t="shared" si="11"/>
        <v>111963.37548156112</v>
      </c>
      <c r="E49" s="169">
        <f t="shared" si="12"/>
        <v>269363.5454815611</v>
      </c>
      <c r="F49" s="170">
        <f t="shared" si="13"/>
        <v>31</v>
      </c>
      <c r="G49" s="171"/>
      <c r="H49" s="172"/>
      <c r="L49" s="173">
        <v>156085.79744098612</v>
      </c>
      <c r="M49" s="203">
        <f t="shared" si="9"/>
        <v>-44122.421959425003</v>
      </c>
    </row>
    <row r="50" spans="1:13" s="56" customFormat="1">
      <c r="A50" s="73">
        <f t="shared" si="14"/>
        <v>42766</v>
      </c>
      <c r="B50" s="174">
        <f t="shared" si="8"/>
        <v>157400.17000000001</v>
      </c>
      <c r="C50" s="72">
        <f t="shared" si="10"/>
        <v>16054817.340000002</v>
      </c>
      <c r="D50" s="57">
        <f t="shared" si="11"/>
        <v>110876.35241863334</v>
      </c>
      <c r="E50" s="101">
        <f t="shared" si="12"/>
        <v>268276.52241863334</v>
      </c>
      <c r="F50" s="113">
        <f t="shared" si="13"/>
        <v>31</v>
      </c>
      <c r="G50" s="123"/>
      <c r="H50" s="58"/>
      <c r="L50" s="56">
        <v>144598.11741403889</v>
      </c>
      <c r="M50" s="202">
        <f t="shared" si="9"/>
        <v>-33721.764995405552</v>
      </c>
    </row>
    <row r="51" spans="1:13" s="56" customFormat="1">
      <c r="A51" s="73">
        <f t="shared" si="14"/>
        <v>42794</v>
      </c>
      <c r="B51" s="72">
        <f t="shared" si="8"/>
        <v>157400.17000000001</v>
      </c>
      <c r="C51" s="72">
        <f t="shared" si="10"/>
        <v>15897417.170000002</v>
      </c>
      <c r="D51" s="57">
        <f t="shared" si="11"/>
        <v>99164.555547088908</v>
      </c>
      <c r="E51" s="101">
        <f t="shared" si="12"/>
        <v>256564.72554708892</v>
      </c>
      <c r="F51" s="113">
        <f t="shared" si="13"/>
        <v>28</v>
      </c>
      <c r="G51" s="123"/>
      <c r="H51" s="58"/>
      <c r="L51" s="56">
        <v>153055.00530626945</v>
      </c>
      <c r="M51" s="202">
        <f t="shared" si="9"/>
        <v>-53890.449759180541</v>
      </c>
    </row>
    <row r="52" spans="1:13" s="56" customFormat="1">
      <c r="A52" s="73">
        <f t="shared" si="14"/>
        <v>42825</v>
      </c>
      <c r="B52" s="72">
        <f t="shared" si="8"/>
        <v>157400.17000000001</v>
      </c>
      <c r="C52" s="72">
        <f t="shared" si="10"/>
        <v>15740017.000000002</v>
      </c>
      <c r="D52" s="57">
        <f t="shared" si="11"/>
        <v>108702.30629277778</v>
      </c>
      <c r="E52" s="101">
        <f t="shared" si="12"/>
        <v>266102.47629277781</v>
      </c>
      <c r="F52" s="113">
        <f t="shared" si="13"/>
        <v>31</v>
      </c>
      <c r="G52" s="123"/>
      <c r="H52" s="58"/>
      <c r="L52" s="56">
        <v>146651.23474733334</v>
      </c>
      <c r="M52" s="202">
        <f t="shared" si="9"/>
        <v>-37948.928454555557</v>
      </c>
    </row>
    <row r="53" spans="1:13" s="56" customFormat="1">
      <c r="A53" s="73">
        <f t="shared" si="14"/>
        <v>42855</v>
      </c>
      <c r="B53" s="72">
        <f t="shared" si="8"/>
        <v>157400.17000000001</v>
      </c>
      <c r="C53" s="72">
        <f t="shared" si="10"/>
        <v>15582616.830000002</v>
      </c>
      <c r="D53" s="57">
        <f t="shared" si="11"/>
        <v>104143.82248049999</v>
      </c>
      <c r="E53" s="101">
        <f t="shared" si="12"/>
        <v>261543.99248050002</v>
      </c>
      <c r="F53" s="113">
        <f t="shared" si="13"/>
        <v>30</v>
      </c>
      <c r="G53" s="123"/>
      <c r="H53" s="58"/>
      <c r="L53" s="56">
        <v>150024.21317155281</v>
      </c>
      <c r="M53" s="202">
        <f t="shared" si="9"/>
        <v>-45880.390691052817</v>
      </c>
    </row>
    <row r="54" spans="1:13" s="56" customFormat="1">
      <c r="A54" s="73">
        <f t="shared" si="14"/>
        <v>42886</v>
      </c>
      <c r="B54" s="72">
        <f t="shared" si="8"/>
        <v>157400.17000000001</v>
      </c>
      <c r="C54" s="72">
        <f t="shared" si="10"/>
        <v>15425216.660000002</v>
      </c>
      <c r="D54" s="57">
        <f t="shared" si="11"/>
        <v>106528.26016692223</v>
      </c>
      <c r="E54" s="101">
        <f t="shared" si="12"/>
        <v>263928.43016692228</v>
      </c>
      <c r="F54" s="113">
        <f t="shared" si="13"/>
        <v>31</v>
      </c>
      <c r="G54" s="123"/>
      <c r="H54" s="58"/>
      <c r="L54" s="56">
        <v>143718.21010083336</v>
      </c>
      <c r="M54" s="202">
        <f t="shared" si="9"/>
        <v>-37189.949933911121</v>
      </c>
    </row>
    <row r="55" spans="1:13" s="56" customFormat="1">
      <c r="A55" s="73">
        <f t="shared" si="14"/>
        <v>42916</v>
      </c>
      <c r="B55" s="72">
        <f t="shared" si="8"/>
        <v>157400.17000000001</v>
      </c>
      <c r="C55" s="72">
        <f t="shared" si="10"/>
        <v>15267816.490000002</v>
      </c>
      <c r="D55" s="57">
        <f t="shared" si="11"/>
        <v>102039.90687483334</v>
      </c>
      <c r="E55" s="101">
        <f t="shared" si="12"/>
        <v>259440.07687483335</v>
      </c>
      <c r="F55" s="113">
        <f t="shared" si="13"/>
        <v>30</v>
      </c>
      <c r="G55" s="123">
        <f>SUM(B44:B48)</f>
        <v>787000.85000000009</v>
      </c>
      <c r="H55" s="58">
        <f>SUM(D44:D48)</f>
        <v>568758.51873188885</v>
      </c>
      <c r="L55" s="56">
        <v>146993.42103683614</v>
      </c>
      <c r="M55" s="202">
        <f t="shared" si="9"/>
        <v>-44953.514162002801</v>
      </c>
    </row>
    <row r="56" spans="1:13" s="56" customFormat="1">
      <c r="A56" s="73">
        <f t="shared" si="14"/>
        <v>42947</v>
      </c>
      <c r="B56" s="72">
        <f t="shared" si="8"/>
        <v>157400.17000000001</v>
      </c>
      <c r="C56" s="72">
        <f t="shared" si="10"/>
        <v>15110416.320000002</v>
      </c>
      <c r="D56" s="57">
        <f t="shared" si="11"/>
        <v>104354.21404106666</v>
      </c>
      <c r="E56" s="101">
        <f t="shared" si="12"/>
        <v>261754.38404106669</v>
      </c>
      <c r="F56" s="113">
        <f t="shared" si="13"/>
        <v>31</v>
      </c>
      <c r="G56" s="123"/>
      <c r="H56" s="58"/>
      <c r="L56" s="56">
        <v>145478.02496947785</v>
      </c>
      <c r="M56" s="202">
        <f t="shared" si="9"/>
        <v>-41123.810928411185</v>
      </c>
    </row>
    <row r="57" spans="1:13" s="56" customFormat="1">
      <c r="A57" s="73">
        <f t="shared" si="14"/>
        <v>42978</v>
      </c>
      <c r="B57" s="72">
        <f t="shared" si="8"/>
        <v>157400.17000000001</v>
      </c>
      <c r="C57" s="72">
        <f t="shared" si="10"/>
        <v>14953016.150000002</v>
      </c>
      <c r="D57" s="57">
        <f t="shared" si="11"/>
        <v>103267.1909781389</v>
      </c>
      <c r="E57" s="101">
        <f t="shared" si="12"/>
        <v>260667.36097813892</v>
      </c>
      <c r="F57" s="113">
        <f t="shared" si="13"/>
        <v>31</v>
      </c>
      <c r="G57" s="123"/>
      <c r="H57" s="58"/>
      <c r="L57" s="56">
        <v>139318.6731310834</v>
      </c>
      <c r="M57" s="202">
        <f t="shared" si="9"/>
        <v>-36051.482152944503</v>
      </c>
    </row>
    <row r="58" spans="1:13" s="56" customFormat="1">
      <c r="A58" s="73">
        <f t="shared" si="14"/>
        <v>43008</v>
      </c>
      <c r="B58" s="72">
        <f t="shared" si="8"/>
        <v>157400.17000000001</v>
      </c>
      <c r="C58" s="72">
        <f t="shared" si="10"/>
        <v>14795615.980000002</v>
      </c>
      <c r="D58" s="57">
        <f t="shared" si="11"/>
        <v>98884.033466333334</v>
      </c>
      <c r="E58" s="101">
        <f t="shared" si="12"/>
        <v>256284.20346633333</v>
      </c>
      <c r="F58" s="113">
        <f t="shared" si="13"/>
        <v>30</v>
      </c>
      <c r="G58" s="123"/>
      <c r="H58" s="58"/>
      <c r="L58" s="56">
        <v>142447.23283476118</v>
      </c>
      <c r="M58" s="202">
        <f t="shared" si="9"/>
        <v>-43563.199368427842</v>
      </c>
    </row>
    <row r="59" spans="1:13" s="56" customFormat="1">
      <c r="A59" s="73">
        <f t="shared" si="14"/>
        <v>43039</v>
      </c>
      <c r="B59" s="72">
        <f t="shared" si="8"/>
        <v>157400.17000000001</v>
      </c>
      <c r="C59" s="72">
        <f t="shared" si="10"/>
        <v>14638215.810000002</v>
      </c>
      <c r="D59" s="57">
        <f t="shared" si="11"/>
        <v>101093.14485228335</v>
      </c>
      <c r="E59" s="101">
        <f t="shared" si="12"/>
        <v>258493.31485228337</v>
      </c>
      <c r="F59" s="113">
        <f t="shared" si="13"/>
        <v>31</v>
      </c>
      <c r="G59" s="123"/>
      <c r="H59" s="58"/>
      <c r="L59" s="56">
        <v>136385.64848458339</v>
      </c>
      <c r="M59" s="202">
        <f t="shared" si="9"/>
        <v>-35292.503632300039</v>
      </c>
    </row>
    <row r="60" spans="1:13" s="56" customFormat="1">
      <c r="A60" s="73">
        <f t="shared" si="14"/>
        <v>43069</v>
      </c>
      <c r="B60" s="72">
        <f t="shared" si="8"/>
        <v>157400.17000000001</v>
      </c>
      <c r="C60" s="72">
        <f t="shared" si="10"/>
        <v>14480815.640000002</v>
      </c>
      <c r="D60" s="57">
        <f t="shared" si="11"/>
        <v>96780.117860666665</v>
      </c>
      <c r="E60" s="101">
        <f t="shared" si="12"/>
        <v>254180.28786066669</v>
      </c>
      <c r="F60" s="113">
        <f t="shared" si="13"/>
        <v>30</v>
      </c>
      <c r="G60" s="123"/>
      <c r="H60" s="58"/>
      <c r="L60" s="56">
        <v>139416.44070004454</v>
      </c>
      <c r="M60" s="202">
        <f t="shared" si="9"/>
        <v>-42636.32283937787</v>
      </c>
    </row>
    <row r="61" spans="1:13" s="170" customFormat="1">
      <c r="A61" s="204">
        <f t="shared" si="14"/>
        <v>43100</v>
      </c>
      <c r="B61" s="205">
        <f t="shared" si="8"/>
        <v>157400.17000000001</v>
      </c>
      <c r="C61" s="205">
        <f t="shared" si="10"/>
        <v>14323415.470000003</v>
      </c>
      <c r="D61" s="206">
        <f t="shared" si="11"/>
        <v>98919.098726427779</v>
      </c>
      <c r="E61" s="207">
        <f t="shared" si="12"/>
        <v>256319.26872642781</v>
      </c>
      <c r="F61" s="170">
        <f t="shared" si="13"/>
        <v>31</v>
      </c>
      <c r="G61" s="171">
        <f>SUM(B50:B61)</f>
        <v>1888802.0399999998</v>
      </c>
      <c r="H61" s="171">
        <f>SUM(D50:D61)</f>
        <v>1234753.0037056725</v>
      </c>
      <c r="L61" s="170">
        <v>137901.04463268619</v>
      </c>
      <c r="M61" s="208">
        <f t="shared" si="9"/>
        <v>-38981.945906258406</v>
      </c>
    </row>
    <row r="62" spans="1:13" s="56" customFormat="1">
      <c r="A62" s="73">
        <f t="shared" si="14"/>
        <v>43131</v>
      </c>
      <c r="B62" s="72">
        <f t="shared" si="8"/>
        <v>157400.17000000001</v>
      </c>
      <c r="C62" s="72">
        <f t="shared" si="10"/>
        <v>14166015.300000003</v>
      </c>
      <c r="D62" s="57">
        <f>(C62*F62*$C$7)/360</f>
        <v>97832.075663500014</v>
      </c>
      <c r="E62" s="101">
        <f t="shared" si="12"/>
        <v>255232.24566350004</v>
      </c>
      <c r="F62" s="113">
        <f t="shared" si="13"/>
        <v>31</v>
      </c>
      <c r="G62" s="123"/>
      <c r="H62" s="58"/>
      <c r="L62" s="56">
        <v>123187.03741384453</v>
      </c>
      <c r="M62" s="202">
        <f t="shared" si="9"/>
        <v>-25354.961750344519</v>
      </c>
    </row>
    <row r="63" spans="1:13" s="56" customFormat="1">
      <c r="A63" s="73">
        <f t="shared" si="14"/>
        <v>43159</v>
      </c>
      <c r="B63" s="72">
        <f t="shared" si="8"/>
        <v>157400.17000000001</v>
      </c>
      <c r="C63" s="72">
        <f t="shared" si="10"/>
        <v>14008615.130000003</v>
      </c>
      <c r="D63" s="57">
        <f t="shared" si="11"/>
        <v>87382.628155355575</v>
      </c>
      <c r="E63" s="101">
        <f t="shared" si="12"/>
        <v>244782.79815535559</v>
      </c>
      <c r="F63" s="113">
        <f t="shared" si="13"/>
        <v>28</v>
      </c>
      <c r="G63" s="123"/>
      <c r="H63" s="58"/>
      <c r="L63" s="56">
        <v>134870.25249796952</v>
      </c>
      <c r="M63" s="202">
        <f t="shared" si="9"/>
        <v>-47487.624342613941</v>
      </c>
    </row>
    <row r="64" spans="1:13" s="56" customFormat="1">
      <c r="A64" s="73">
        <f t="shared" si="14"/>
        <v>43190</v>
      </c>
      <c r="B64" s="72">
        <f t="shared" si="8"/>
        <v>157400.17000000001</v>
      </c>
      <c r="C64" s="72">
        <f t="shared" si="10"/>
        <v>13851214.960000003</v>
      </c>
      <c r="D64" s="57">
        <f t="shared" si="11"/>
        <v>95658.02953764447</v>
      </c>
      <c r="E64" s="101">
        <f t="shared" si="12"/>
        <v>253058.19953764448</v>
      </c>
      <c r="F64" s="113">
        <f t="shared" si="13"/>
        <v>31</v>
      </c>
      <c r="G64" s="123"/>
      <c r="H64" s="58"/>
      <c r="L64" s="56">
        <v>129053.08686833344</v>
      </c>
      <c r="M64" s="202">
        <f t="shared" si="9"/>
        <v>-33395.057330688971</v>
      </c>
    </row>
    <row r="65" spans="1:13" s="56" customFormat="1">
      <c r="A65" s="73">
        <f t="shared" si="14"/>
        <v>43220</v>
      </c>
      <c r="B65" s="72">
        <f t="shared" si="8"/>
        <v>157400.17000000001</v>
      </c>
      <c r="C65" s="72">
        <f t="shared" si="10"/>
        <v>13693814.790000003</v>
      </c>
      <c r="D65" s="57">
        <f t="shared" si="11"/>
        <v>91520.328846500022</v>
      </c>
      <c r="E65" s="101">
        <f t="shared" si="12"/>
        <v>248920.49884650004</v>
      </c>
      <c r="F65" s="113">
        <f t="shared" si="13"/>
        <v>30</v>
      </c>
      <c r="G65" s="123"/>
      <c r="H65" s="58"/>
      <c r="L65" s="56">
        <v>131839.4603632529</v>
      </c>
      <c r="M65" s="202">
        <f t="shared" si="9"/>
        <v>-40319.131516752881</v>
      </c>
    </row>
    <row r="66" spans="1:13" s="56" customFormat="1">
      <c r="A66" s="73">
        <f t="shared" si="14"/>
        <v>43251</v>
      </c>
      <c r="B66" s="72">
        <f t="shared" si="8"/>
        <v>157400.17000000001</v>
      </c>
      <c r="C66" s="72">
        <f t="shared" si="10"/>
        <v>13536414.620000003</v>
      </c>
      <c r="D66" s="57">
        <f t="shared" si="11"/>
        <v>93483.983411788897</v>
      </c>
      <c r="E66" s="101">
        <f t="shared" si="12"/>
        <v>250884.15341178892</v>
      </c>
      <c r="F66" s="113">
        <f t="shared" si="13"/>
        <v>31</v>
      </c>
      <c r="G66" s="123"/>
      <c r="H66" s="58"/>
      <c r="L66" s="56">
        <v>126120.06222183345</v>
      </c>
      <c r="M66" s="202">
        <f t="shared" si="9"/>
        <v>-32636.07881004455</v>
      </c>
    </row>
    <row r="67" spans="1:13" s="56" customFormat="1">
      <c r="A67" s="73">
        <f t="shared" si="14"/>
        <v>43281</v>
      </c>
      <c r="B67" s="72">
        <f t="shared" si="8"/>
        <v>157400.17000000001</v>
      </c>
      <c r="C67" s="72">
        <f t="shared" si="10"/>
        <v>13379014.450000003</v>
      </c>
      <c r="D67" s="57">
        <f t="shared" si="11"/>
        <v>89416.413240833353</v>
      </c>
      <c r="E67" s="101">
        <f t="shared" si="12"/>
        <v>246816.58324083337</v>
      </c>
      <c r="F67" s="113">
        <f t="shared" si="13"/>
        <v>30</v>
      </c>
      <c r="G67" s="123"/>
      <c r="H67" s="58"/>
      <c r="L67" s="56">
        <v>128808.66822853626</v>
      </c>
      <c r="M67" s="202">
        <f t="shared" si="9"/>
        <v>-39392.254987702909</v>
      </c>
    </row>
    <row r="68" spans="1:13" s="56" customFormat="1">
      <c r="A68" s="73">
        <f t="shared" si="14"/>
        <v>43312</v>
      </c>
      <c r="B68" s="72">
        <f t="shared" si="8"/>
        <v>157400.17000000001</v>
      </c>
      <c r="C68" s="72">
        <f t="shared" si="10"/>
        <v>13221614.280000003</v>
      </c>
      <c r="D68" s="57">
        <f t="shared" si="11"/>
        <v>91309.937285933338</v>
      </c>
      <c r="E68" s="101">
        <f t="shared" si="12"/>
        <v>248710.10728593334</v>
      </c>
      <c r="F68" s="113">
        <f t="shared" si="13"/>
        <v>31</v>
      </c>
      <c r="G68" s="123"/>
      <c r="H68" s="58"/>
      <c r="L68" s="56">
        <v>127293.27216117793</v>
      </c>
      <c r="M68" s="202">
        <f t="shared" si="9"/>
        <v>-35983.334875244589</v>
      </c>
    </row>
    <row r="69" spans="1:13" s="56" customFormat="1">
      <c r="A69" s="73">
        <f t="shared" si="14"/>
        <v>43343</v>
      </c>
      <c r="B69" s="72">
        <f t="shared" si="8"/>
        <v>157400.17000000001</v>
      </c>
      <c r="C69" s="72">
        <f t="shared" si="10"/>
        <v>13064214.110000003</v>
      </c>
      <c r="D69" s="57">
        <f t="shared" si="11"/>
        <v>90222.914223005573</v>
      </c>
      <c r="E69" s="101">
        <f t="shared" si="12"/>
        <v>247623.08422300557</v>
      </c>
      <c r="F69" s="113">
        <f t="shared" si="13"/>
        <v>31</v>
      </c>
      <c r="G69" s="123"/>
      <c r="H69" s="58"/>
      <c r="L69" s="56">
        <v>121720.52525208346</v>
      </c>
      <c r="M69" s="202">
        <f t="shared" si="9"/>
        <v>-31497.611029077889</v>
      </c>
    </row>
    <row r="70" spans="1:13" s="56" customFormat="1">
      <c r="A70" s="73">
        <f t="shared" si="14"/>
        <v>43373</v>
      </c>
      <c r="B70" s="72">
        <f t="shared" si="8"/>
        <v>157400.17000000001</v>
      </c>
      <c r="C70" s="72">
        <f t="shared" si="10"/>
        <v>12906813.940000003</v>
      </c>
      <c r="D70" s="57">
        <f t="shared" si="11"/>
        <v>86260.53983233335</v>
      </c>
      <c r="E70" s="101">
        <f t="shared" si="12"/>
        <v>243660.70983233338</v>
      </c>
      <c r="F70" s="113">
        <f t="shared" si="13"/>
        <v>30</v>
      </c>
      <c r="G70" s="123"/>
      <c r="H70" s="58"/>
      <c r="L70" s="56">
        <v>124262.48002646126</v>
      </c>
      <c r="M70" s="202">
        <f t="shared" si="9"/>
        <v>-38001.940194127907</v>
      </c>
    </row>
    <row r="71" spans="1:13" s="56" customFormat="1">
      <c r="A71" s="73">
        <f t="shared" si="14"/>
        <v>43404</v>
      </c>
      <c r="B71" s="72">
        <f t="shared" si="8"/>
        <v>157400.17000000001</v>
      </c>
      <c r="C71" s="72">
        <f t="shared" si="10"/>
        <v>12749413.770000003</v>
      </c>
      <c r="D71" s="57">
        <f t="shared" si="11"/>
        <v>88048.868097150014</v>
      </c>
      <c r="E71" s="101">
        <f t="shared" si="12"/>
        <v>245449.03809715004</v>
      </c>
      <c r="F71" s="113">
        <f t="shared" si="13"/>
        <v>31</v>
      </c>
      <c r="G71" s="123"/>
      <c r="H71" s="58"/>
      <c r="L71" s="56">
        <v>118787.50060558348</v>
      </c>
      <c r="M71" s="202">
        <f t="shared" si="9"/>
        <v>-30738.632508433468</v>
      </c>
    </row>
    <row r="72" spans="1:13" s="56" customFormat="1">
      <c r="A72" s="73">
        <f t="shared" si="14"/>
        <v>43434</v>
      </c>
      <c r="B72" s="72">
        <f t="shared" si="8"/>
        <v>157400.17000000001</v>
      </c>
      <c r="C72" s="72">
        <f t="shared" si="10"/>
        <v>12592013.600000003</v>
      </c>
      <c r="D72" s="57">
        <f t="shared" si="11"/>
        <v>84156.624226666681</v>
      </c>
      <c r="E72" s="101">
        <f t="shared" si="12"/>
        <v>241556.79422666668</v>
      </c>
      <c r="F72" s="113">
        <f t="shared" si="13"/>
        <v>30</v>
      </c>
      <c r="G72" s="123"/>
      <c r="H72" s="58"/>
      <c r="L72" s="56">
        <v>121231.68789174462</v>
      </c>
      <c r="M72" s="202">
        <f t="shared" si="9"/>
        <v>-37075.063665077934</v>
      </c>
    </row>
    <row r="73" spans="1:13" s="173" customFormat="1">
      <c r="A73" s="166">
        <f t="shared" si="14"/>
        <v>43465</v>
      </c>
      <c r="B73" s="167">
        <f t="shared" si="8"/>
        <v>157400.17000000001</v>
      </c>
      <c r="C73" s="167">
        <f t="shared" si="10"/>
        <v>12434613.430000003</v>
      </c>
      <c r="D73" s="168">
        <f t="shared" si="11"/>
        <v>85874.821971294456</v>
      </c>
      <c r="E73" s="169">
        <f t="shared" si="12"/>
        <v>243274.99197129445</v>
      </c>
      <c r="F73" s="170">
        <f t="shared" si="13"/>
        <v>31</v>
      </c>
      <c r="G73" s="171">
        <f>SUM(B62:B73)</f>
        <v>1888802.0399999998</v>
      </c>
      <c r="H73" s="171">
        <f>SUM(D62:D73)</f>
        <v>1081167.1644920055</v>
      </c>
      <c r="L73" s="173">
        <v>119716.29182438628</v>
      </c>
      <c r="M73" s="203">
        <f t="shared" si="9"/>
        <v>-33841.469853091825</v>
      </c>
    </row>
    <row r="74" spans="1:13" s="56" customFormat="1">
      <c r="A74" s="73">
        <f t="shared" si="14"/>
        <v>43496</v>
      </c>
      <c r="B74" s="72">
        <f t="shared" si="8"/>
        <v>157400.17000000001</v>
      </c>
      <c r="C74" s="72">
        <f t="shared" si="10"/>
        <v>12277213.260000004</v>
      </c>
      <c r="D74" s="57">
        <f t="shared" si="11"/>
        <v>84787.798908366691</v>
      </c>
      <c r="E74" s="101">
        <f t="shared" si="12"/>
        <v>242187.96890836669</v>
      </c>
      <c r="F74" s="113">
        <f t="shared" si="13"/>
        <v>31</v>
      </c>
      <c r="G74" s="123"/>
      <c r="H74" s="58"/>
      <c r="L74" s="56">
        <v>106762.09939344462</v>
      </c>
      <c r="M74" s="202">
        <f t="shared" si="9"/>
        <v>-21974.300485077925</v>
      </c>
    </row>
    <row r="75" spans="1:13" s="56" customFormat="1">
      <c r="A75" s="73">
        <f t="shared" si="14"/>
        <v>43524</v>
      </c>
      <c r="B75" s="72">
        <f t="shared" si="8"/>
        <v>157400.17000000001</v>
      </c>
      <c r="C75" s="72">
        <f t="shared" si="10"/>
        <v>12119813.090000004</v>
      </c>
      <c r="D75" s="57">
        <f t="shared" si="11"/>
        <v>75600.700763622241</v>
      </c>
      <c r="E75" s="101">
        <f t="shared" si="12"/>
        <v>233000.87076362225</v>
      </c>
      <c r="F75" s="113">
        <f t="shared" si="13"/>
        <v>28</v>
      </c>
      <c r="G75" s="123"/>
      <c r="H75" s="58"/>
      <c r="L75" s="56">
        <v>116685.49968966962</v>
      </c>
      <c r="M75" s="202">
        <f t="shared" si="9"/>
        <v>-41084.798926047384</v>
      </c>
    </row>
    <row r="76" spans="1:13" s="56" customFormat="1">
      <c r="A76" s="73">
        <f t="shared" si="14"/>
        <v>43555</v>
      </c>
      <c r="B76" s="72">
        <f t="shared" si="8"/>
        <v>157400.17000000001</v>
      </c>
      <c r="C76" s="72">
        <f>C75-B75</f>
        <v>11962412.920000004</v>
      </c>
      <c r="D76" s="57">
        <f t="shared" si="11"/>
        <v>82613.752782511132</v>
      </c>
      <c r="E76" s="101">
        <f t="shared" si="12"/>
        <v>240013.92278251116</v>
      </c>
      <c r="F76" s="113">
        <f t="shared" si="13"/>
        <v>31</v>
      </c>
      <c r="G76" s="123"/>
      <c r="H76" s="58"/>
      <c r="L76" s="56">
        <v>111454.93898933352</v>
      </c>
      <c r="M76" s="202">
        <f t="shared" si="9"/>
        <v>-28841.186206822385</v>
      </c>
    </row>
    <row r="77" spans="1:13" s="56" customFormat="1">
      <c r="A77" s="73">
        <f t="shared" si="14"/>
        <v>43585</v>
      </c>
      <c r="B77" s="72">
        <f t="shared" si="8"/>
        <v>157400.17000000001</v>
      </c>
      <c r="C77" s="72">
        <f t="shared" si="10"/>
        <v>11805012.750000004</v>
      </c>
      <c r="D77" s="57">
        <f t="shared" si="11"/>
        <v>78896.835212500024</v>
      </c>
      <c r="E77" s="101">
        <f t="shared" si="12"/>
        <v>236297.00521250005</v>
      </c>
      <c r="F77" s="113">
        <f t="shared" si="13"/>
        <v>30</v>
      </c>
      <c r="G77" s="123"/>
      <c r="H77" s="58"/>
      <c r="L77" s="56">
        <v>113654.70755495298</v>
      </c>
      <c r="M77" s="202">
        <f t="shared" si="9"/>
        <v>-34757.87234245296</v>
      </c>
    </row>
    <row r="78" spans="1:13" s="56" customFormat="1">
      <c r="A78" s="73">
        <f t="shared" si="14"/>
        <v>43616</v>
      </c>
      <c r="B78" s="72">
        <f t="shared" si="8"/>
        <v>157400.17000000001</v>
      </c>
      <c r="C78" s="72">
        <f t="shared" si="10"/>
        <v>11647612.580000004</v>
      </c>
      <c r="D78" s="57">
        <f t="shared" si="11"/>
        <v>80439.706656655573</v>
      </c>
      <c r="E78" s="101">
        <f t="shared" si="12"/>
        <v>237839.87665665557</v>
      </c>
      <c r="F78" s="113">
        <f t="shared" si="13"/>
        <v>31</v>
      </c>
      <c r="G78" s="123"/>
      <c r="H78" s="58"/>
      <c r="L78" s="56">
        <v>108521.91434283352</v>
      </c>
      <c r="M78" s="202">
        <f t="shared" si="9"/>
        <v>-28082.20768617795</v>
      </c>
    </row>
    <row r="79" spans="1:13" s="56" customFormat="1">
      <c r="A79" s="73">
        <f t="shared" si="14"/>
        <v>43646</v>
      </c>
      <c r="B79" s="72">
        <f t="shared" si="8"/>
        <v>157400.17000000001</v>
      </c>
      <c r="C79" s="72">
        <f t="shared" si="10"/>
        <v>11490212.410000004</v>
      </c>
      <c r="D79" s="57">
        <f t="shared" si="11"/>
        <v>76792.919606833355</v>
      </c>
      <c r="E79" s="101">
        <f t="shared" si="12"/>
        <v>234193.08960683335</v>
      </c>
      <c r="F79" s="113">
        <f t="shared" si="13"/>
        <v>30</v>
      </c>
      <c r="G79" s="123"/>
      <c r="H79" s="58"/>
      <c r="L79" s="56">
        <v>110623.91542023633</v>
      </c>
      <c r="M79" s="202">
        <f t="shared" si="9"/>
        <v>-33830.995813402973</v>
      </c>
    </row>
    <row r="80" spans="1:13" s="56" customFormat="1">
      <c r="A80" s="73">
        <f t="shared" si="14"/>
        <v>43677</v>
      </c>
      <c r="B80" s="72">
        <f t="shared" si="8"/>
        <v>157400.17000000001</v>
      </c>
      <c r="C80" s="72">
        <f t="shared" si="10"/>
        <v>11332812.240000004</v>
      </c>
      <c r="D80" s="57">
        <f t="shared" si="11"/>
        <v>78265.660530800014</v>
      </c>
      <c r="E80" s="101">
        <f t="shared" si="12"/>
        <v>235665.83053080004</v>
      </c>
      <c r="F80" s="113">
        <f t="shared" si="13"/>
        <v>31</v>
      </c>
      <c r="G80" s="123"/>
      <c r="H80" s="58"/>
      <c r="L80" s="56">
        <v>109108.51935287799</v>
      </c>
      <c r="M80" s="202">
        <f t="shared" si="9"/>
        <v>-30842.858822077978</v>
      </c>
    </row>
    <row r="81" spans="1:13" s="56" customFormat="1">
      <c r="A81" s="73">
        <f t="shared" si="14"/>
        <v>43708</v>
      </c>
      <c r="B81" s="72">
        <f t="shared" si="8"/>
        <v>157400.17000000001</v>
      </c>
      <c r="C81" s="72">
        <f t="shared" si="10"/>
        <v>11175412.070000004</v>
      </c>
      <c r="D81" s="57">
        <f t="shared" si="11"/>
        <v>77178.63746787225</v>
      </c>
      <c r="E81" s="101">
        <f t="shared" si="12"/>
        <v>234578.80746787228</v>
      </c>
      <c r="F81" s="113">
        <f t="shared" si="13"/>
        <v>31</v>
      </c>
      <c r="G81" s="123"/>
      <c r="H81" s="58"/>
      <c r="L81" s="56">
        <v>104122.37737308354</v>
      </c>
      <c r="M81" s="202">
        <f t="shared" si="9"/>
        <v>-26943.739905211289</v>
      </c>
    </row>
    <row r="82" spans="1:13" s="56" customFormat="1">
      <c r="A82" s="73">
        <f t="shared" si="14"/>
        <v>43738</v>
      </c>
      <c r="B82" s="72">
        <f t="shared" si="8"/>
        <v>157400.17000000001</v>
      </c>
      <c r="C82" s="72">
        <f t="shared" si="10"/>
        <v>11018011.900000004</v>
      </c>
      <c r="D82" s="57">
        <f>(C82*F82*$C$7)/360</f>
        <v>73637.046198333352</v>
      </c>
      <c r="E82" s="101">
        <f t="shared" si="12"/>
        <v>231037.21619833336</v>
      </c>
      <c r="F82" s="113">
        <f t="shared" si="13"/>
        <v>30</v>
      </c>
      <c r="G82" s="123"/>
      <c r="H82" s="58"/>
      <c r="L82" s="56">
        <v>106077.72721816135</v>
      </c>
      <c r="M82" s="202">
        <f t="shared" si="9"/>
        <v>-32440.681019828</v>
      </c>
    </row>
    <row r="83" spans="1:13" s="56" customFormat="1">
      <c r="A83" s="73">
        <f t="shared" si="14"/>
        <v>43769</v>
      </c>
      <c r="B83" s="72">
        <f t="shared" si="8"/>
        <v>157400.17000000001</v>
      </c>
      <c r="C83" s="72">
        <f t="shared" si="10"/>
        <v>10860611.730000004</v>
      </c>
      <c r="D83" s="57">
        <f t="shared" si="11"/>
        <v>75004.591342016676</v>
      </c>
      <c r="E83" s="101">
        <f t="shared" si="12"/>
        <v>232404.76134201669</v>
      </c>
      <c r="F83" s="113">
        <f t="shared" si="13"/>
        <v>31</v>
      </c>
      <c r="G83" s="123"/>
      <c r="H83" s="58"/>
      <c r="L83" s="56">
        <v>101189.35272658356</v>
      </c>
      <c r="M83" s="202">
        <f t="shared" si="9"/>
        <v>-26184.761384566882</v>
      </c>
    </row>
    <row r="84" spans="1:13" s="56" customFormat="1">
      <c r="A84" s="73">
        <f t="shared" si="14"/>
        <v>43799</v>
      </c>
      <c r="B84" s="72">
        <f t="shared" si="8"/>
        <v>157400.17000000001</v>
      </c>
      <c r="C84" s="72">
        <f t="shared" si="10"/>
        <v>10703211.560000004</v>
      </c>
      <c r="D84" s="57">
        <f t="shared" si="11"/>
        <v>71533.130592666697</v>
      </c>
      <c r="E84" s="101">
        <f t="shared" si="12"/>
        <v>228933.30059266672</v>
      </c>
      <c r="F84" s="113">
        <f t="shared" si="13"/>
        <v>30</v>
      </c>
      <c r="G84" s="123"/>
      <c r="H84" s="58"/>
      <c r="L84" s="56">
        <v>103046.93508344468</v>
      </c>
      <c r="M84" s="202">
        <f t="shared" si="9"/>
        <v>-31513.804490777984</v>
      </c>
    </row>
    <row r="85" spans="1:13" s="173" customFormat="1">
      <c r="A85" s="166">
        <f t="shared" si="14"/>
        <v>43830</v>
      </c>
      <c r="B85" s="167">
        <f t="shared" si="8"/>
        <v>157400.17000000001</v>
      </c>
      <c r="C85" s="167">
        <f t="shared" si="10"/>
        <v>10545811.390000004</v>
      </c>
      <c r="D85" s="168">
        <f t="shared" si="11"/>
        <v>72830.545216161132</v>
      </c>
      <c r="E85" s="169">
        <f t="shared" si="12"/>
        <v>230230.71521616116</v>
      </c>
      <c r="F85" s="170">
        <f t="shared" si="13"/>
        <v>31</v>
      </c>
      <c r="G85" s="171">
        <f>SUM(B74:B85)</f>
        <v>1888802.0399999998</v>
      </c>
      <c r="H85" s="171">
        <f>SUM(D74:D85)</f>
        <v>927581.32527833921</v>
      </c>
      <c r="L85" s="173">
        <v>101531.53901608635</v>
      </c>
      <c r="M85" s="203">
        <f t="shared" si="9"/>
        <v>-28700.993799925214</v>
      </c>
    </row>
    <row r="86" spans="1:13" s="56" customFormat="1">
      <c r="A86" s="73">
        <f t="shared" si="14"/>
        <v>43861</v>
      </c>
      <c r="B86" s="72">
        <f t="shared" si="8"/>
        <v>157400.17000000001</v>
      </c>
      <c r="C86" s="72">
        <f t="shared" si="10"/>
        <v>10388411.220000004</v>
      </c>
      <c r="D86" s="57">
        <f t="shared" si="11"/>
        <v>71743.522153233353</v>
      </c>
      <c r="E86" s="101">
        <f t="shared" si="12"/>
        <v>229143.69215323337</v>
      </c>
      <c r="F86" s="113">
        <f t="shared" si="13"/>
        <v>31</v>
      </c>
      <c r="G86" s="123"/>
      <c r="H86" s="58"/>
      <c r="L86" s="56">
        <v>90337.16137304467</v>
      </c>
      <c r="M86" s="202">
        <f t="shared" si="9"/>
        <v>-18593.639219811317</v>
      </c>
    </row>
    <row r="87" spans="1:13" s="56" customFormat="1">
      <c r="A87" s="73">
        <f t="shared" si="14"/>
        <v>43890</v>
      </c>
      <c r="B87" s="72">
        <f t="shared" si="8"/>
        <v>157400.17000000001</v>
      </c>
      <c r="C87" s="72">
        <f t="shared" si="10"/>
        <v>10231011.050000004</v>
      </c>
      <c r="D87" s="57">
        <f t="shared" si="11"/>
        <v>66098.0152780278</v>
      </c>
      <c r="E87" s="101">
        <f t="shared" si="12"/>
        <v>223498.18527802781</v>
      </c>
      <c r="F87" s="113">
        <f t="shared" si="13"/>
        <v>29</v>
      </c>
      <c r="G87" s="123"/>
      <c r="H87" s="58"/>
      <c r="L87" s="56">
        <v>98500.746881369691</v>
      </c>
      <c r="M87" s="202">
        <f t="shared" si="9"/>
        <v>-32402.73160334189</v>
      </c>
    </row>
    <row r="88" spans="1:13" s="56" customFormat="1">
      <c r="A88" s="73">
        <f t="shared" si="14"/>
        <v>43921</v>
      </c>
      <c r="B88" s="72">
        <f t="shared" si="8"/>
        <v>157400.17000000001</v>
      </c>
      <c r="C88" s="72">
        <f t="shared" si="10"/>
        <v>10073610.880000005</v>
      </c>
      <c r="D88" s="57">
        <f t="shared" si="11"/>
        <v>69569.476027377808</v>
      </c>
      <c r="E88" s="101">
        <f t="shared" si="12"/>
        <v>226969.64602737781</v>
      </c>
      <c r="F88" s="113">
        <f t="shared" si="13"/>
        <v>31</v>
      </c>
      <c r="G88" s="123"/>
      <c r="H88" s="58"/>
      <c r="L88" s="56">
        <v>93856.791110333594</v>
      </c>
      <c r="M88" s="202">
        <f t="shared" si="9"/>
        <v>-24287.315082955785</v>
      </c>
    </row>
    <row r="89" spans="1:13" s="56" customFormat="1">
      <c r="A89" s="73">
        <f t="shared" si="14"/>
        <v>43951</v>
      </c>
      <c r="B89" s="72">
        <f t="shared" si="8"/>
        <v>157400.17000000001</v>
      </c>
      <c r="C89" s="72">
        <f t="shared" si="10"/>
        <v>9916210.7100000046</v>
      </c>
      <c r="D89" s="57">
        <f t="shared" si="11"/>
        <v>66273.341578500025</v>
      </c>
      <c r="E89" s="101">
        <f t="shared" si="12"/>
        <v>223673.51157850004</v>
      </c>
      <c r="F89" s="113">
        <f t="shared" si="13"/>
        <v>30</v>
      </c>
      <c r="G89" s="123"/>
      <c r="H89" s="58"/>
      <c r="L89" s="56">
        <v>95469.954746653049</v>
      </c>
      <c r="M89" s="202">
        <f t="shared" si="9"/>
        <v>-29196.613168153024</v>
      </c>
    </row>
    <row r="90" spans="1:13" s="56" customFormat="1">
      <c r="A90" s="73">
        <f t="shared" si="14"/>
        <v>43982</v>
      </c>
      <c r="B90" s="72">
        <f t="shared" si="8"/>
        <v>157400.17000000001</v>
      </c>
      <c r="C90" s="72">
        <f t="shared" si="10"/>
        <v>9758810.5400000047</v>
      </c>
      <c r="D90" s="57">
        <f t="shared" si="11"/>
        <v>67395.42990152225</v>
      </c>
      <c r="E90" s="101">
        <f t="shared" si="12"/>
        <v>224795.59990152228</v>
      </c>
      <c r="F90" s="113">
        <f t="shared" si="13"/>
        <v>31</v>
      </c>
      <c r="G90" s="123"/>
      <c r="H90" s="58"/>
      <c r="L90" s="56">
        <v>90923.766463833599</v>
      </c>
      <c r="M90" s="202">
        <f t="shared" si="9"/>
        <v>-23528.33656231135</v>
      </c>
    </row>
    <row r="91" spans="1:13" s="56" customFormat="1">
      <c r="A91" s="73">
        <f t="shared" si="14"/>
        <v>44012</v>
      </c>
      <c r="B91" s="72">
        <f t="shared" si="8"/>
        <v>157400.17000000001</v>
      </c>
      <c r="C91" s="72">
        <f t="shared" si="10"/>
        <v>9601410.3700000048</v>
      </c>
      <c r="D91" s="57">
        <f t="shared" si="11"/>
        <v>64169.425972833364</v>
      </c>
      <c r="E91" s="101">
        <f t="shared" si="12"/>
        <v>221569.59597283337</v>
      </c>
      <c r="F91" s="113">
        <f t="shared" si="13"/>
        <v>30</v>
      </c>
      <c r="G91" s="123"/>
      <c r="H91" s="58"/>
      <c r="L91" s="56">
        <v>92439.162611936394</v>
      </c>
      <c r="M91" s="202">
        <f t="shared" si="9"/>
        <v>-28269.73663910303</v>
      </c>
    </row>
    <row r="92" spans="1:13" s="56" customFormat="1">
      <c r="A92" s="73">
        <f t="shared" si="14"/>
        <v>44043</v>
      </c>
      <c r="B92" s="72">
        <f t="shared" si="8"/>
        <v>157400.17000000001</v>
      </c>
      <c r="C92" s="72">
        <f t="shared" si="10"/>
        <v>9444010.2000000048</v>
      </c>
      <c r="D92" s="57">
        <f t="shared" si="11"/>
        <v>65221.383775666698</v>
      </c>
      <c r="E92" s="101">
        <f t="shared" si="12"/>
        <v>222621.55377566672</v>
      </c>
      <c r="F92" s="113">
        <f t="shared" si="13"/>
        <v>31</v>
      </c>
      <c r="G92" s="123"/>
      <c r="H92" s="58"/>
      <c r="L92" s="56">
        <v>90923.766544578059</v>
      </c>
      <c r="M92" s="202">
        <f t="shared" si="9"/>
        <v>-25702.38276891136</v>
      </c>
    </row>
    <row r="93" spans="1:13" s="56" customFormat="1">
      <c r="A93" s="73">
        <f t="shared" si="14"/>
        <v>44074</v>
      </c>
      <c r="B93" s="72">
        <f t="shared" si="8"/>
        <v>157400.17000000001</v>
      </c>
      <c r="C93" s="72">
        <f t="shared" si="10"/>
        <v>9286610.0300000049</v>
      </c>
      <c r="D93" s="57">
        <f t="shared" si="11"/>
        <v>64134.360712738911</v>
      </c>
      <c r="E93" s="101">
        <f t="shared" si="12"/>
        <v>221534.53071273892</v>
      </c>
      <c r="F93" s="113">
        <f t="shared" si="13"/>
        <v>31</v>
      </c>
      <c r="G93" s="123"/>
      <c r="H93" s="58"/>
      <c r="L93" s="56">
        <v>86524.229494083615</v>
      </c>
      <c r="M93" s="202">
        <f t="shared" si="9"/>
        <v>-22389.868781344703</v>
      </c>
    </row>
    <row r="94" spans="1:13" s="56" customFormat="1">
      <c r="A94" s="73">
        <f t="shared" si="14"/>
        <v>44104</v>
      </c>
      <c r="B94" s="72">
        <f t="shared" si="8"/>
        <v>157400.17000000001</v>
      </c>
      <c r="C94" s="72">
        <f t="shared" si="10"/>
        <v>9129209.860000005</v>
      </c>
      <c r="D94" s="57">
        <f t="shared" si="11"/>
        <v>61013.55256433336</v>
      </c>
      <c r="E94" s="101">
        <f t="shared" si="12"/>
        <v>218413.72256433338</v>
      </c>
      <c r="F94" s="113">
        <f t="shared" si="13"/>
        <v>30</v>
      </c>
      <c r="G94" s="123"/>
      <c r="H94" s="58"/>
      <c r="L94" s="56">
        <v>87892.974409861403</v>
      </c>
      <c r="M94" s="202">
        <f t="shared" si="9"/>
        <v>-26879.421845528042</v>
      </c>
    </row>
    <row r="95" spans="1:13" s="56" customFormat="1">
      <c r="A95" s="73">
        <f t="shared" si="14"/>
        <v>44135</v>
      </c>
      <c r="B95" s="72">
        <f t="shared" si="8"/>
        <v>157400.17000000001</v>
      </c>
      <c r="C95" s="72">
        <f t="shared" si="10"/>
        <v>8971809.6900000051</v>
      </c>
      <c r="D95" s="57">
        <f t="shared" si="11"/>
        <v>61960.314586883367</v>
      </c>
      <c r="E95" s="101">
        <f t="shared" si="12"/>
        <v>219360.48458688339</v>
      </c>
      <c r="F95" s="113">
        <f t="shared" si="13"/>
        <v>31</v>
      </c>
      <c r="G95" s="123"/>
      <c r="H95" s="58"/>
      <c r="L95" s="56">
        <v>83591.204847583635</v>
      </c>
      <c r="M95" s="202">
        <f t="shared" si="9"/>
        <v>-21630.890260700267</v>
      </c>
    </row>
    <row r="96" spans="1:13" s="56" customFormat="1">
      <c r="A96" s="73">
        <f t="shared" si="14"/>
        <v>44165</v>
      </c>
      <c r="B96" s="72">
        <f t="shared" si="8"/>
        <v>157400.17000000001</v>
      </c>
      <c r="C96" s="72">
        <f t="shared" si="10"/>
        <v>8814409.5200000051</v>
      </c>
      <c r="D96" s="57">
        <f t="shared" si="11"/>
        <v>58909.636958666691</v>
      </c>
      <c r="E96" s="101">
        <f t="shared" si="12"/>
        <v>216309.80695866671</v>
      </c>
      <c r="F96" s="113">
        <f t="shared" si="13"/>
        <v>30</v>
      </c>
      <c r="G96" s="123"/>
      <c r="H96" s="58"/>
      <c r="L96" s="56">
        <v>84862.182275144747</v>
      </c>
      <c r="M96" s="202">
        <f t="shared" si="9"/>
        <v>-25952.545316478056</v>
      </c>
    </row>
    <row r="97" spans="1:13" s="173" customFormat="1">
      <c r="A97" s="166">
        <f t="shared" si="14"/>
        <v>44196</v>
      </c>
      <c r="B97" s="167">
        <f t="shared" si="8"/>
        <v>157400.17000000001</v>
      </c>
      <c r="C97" s="167">
        <f t="shared" si="10"/>
        <v>8657009.3500000052</v>
      </c>
      <c r="D97" s="168">
        <f t="shared" si="11"/>
        <v>59786.268461027816</v>
      </c>
      <c r="E97" s="169">
        <f t="shared" si="12"/>
        <v>217186.43846102784</v>
      </c>
      <c r="F97" s="170">
        <f t="shared" si="13"/>
        <v>31</v>
      </c>
      <c r="G97" s="171">
        <f>SUM(B86:B97)</f>
        <v>1888802.0399999998</v>
      </c>
      <c r="H97" s="171">
        <f>SUM(D86:D97)</f>
        <v>776274.72797081142</v>
      </c>
      <c r="L97" s="173">
        <v>83346.786207786427</v>
      </c>
      <c r="M97" s="203">
        <f t="shared" si="9"/>
        <v>-23560.517746758611</v>
      </c>
    </row>
    <row r="98" spans="1:13" s="56" customFormat="1">
      <c r="A98" s="73">
        <f t="shared" si="14"/>
        <v>44227</v>
      </c>
      <c r="B98" s="72">
        <f t="shared" si="8"/>
        <v>157400.17000000001</v>
      </c>
      <c r="C98" s="72">
        <f t="shared" si="10"/>
        <v>8499609.1800000053</v>
      </c>
      <c r="D98" s="57">
        <f t="shared" si="11"/>
        <v>58699.245398100029</v>
      </c>
      <c r="E98" s="101">
        <f t="shared" si="12"/>
        <v>216099.41539810004</v>
      </c>
      <c r="F98" s="113">
        <f t="shared" si="13"/>
        <v>31</v>
      </c>
      <c r="G98" s="123"/>
      <c r="H98" s="58"/>
      <c r="L98" s="56">
        <v>76551.945615239194</v>
      </c>
      <c r="M98" s="202">
        <f t="shared" si="9"/>
        <v>-17852.700217139165</v>
      </c>
    </row>
    <row r="99" spans="1:13" s="56" customFormat="1">
      <c r="A99" s="73">
        <f t="shared" si="14"/>
        <v>44255</v>
      </c>
      <c r="B99" s="72">
        <f t="shared" si="8"/>
        <v>157400.17000000001</v>
      </c>
      <c r="C99" s="72">
        <f t="shared" si="10"/>
        <v>8342209.0100000054</v>
      </c>
      <c r="D99" s="57">
        <f t="shared" si="11"/>
        <v>52036.84598015558</v>
      </c>
      <c r="E99" s="101">
        <f t="shared" si="12"/>
        <v>209437.01598015559</v>
      </c>
      <c r="F99" s="113">
        <f t="shared" si="13"/>
        <v>28</v>
      </c>
      <c r="G99" s="123"/>
      <c r="H99" s="58"/>
      <c r="L99" s="56">
        <v>80315.994073069771</v>
      </c>
      <c r="M99" s="202">
        <f t="shared" si="9"/>
        <v>-28279.148092914191</v>
      </c>
    </row>
    <row r="100" spans="1:13" s="56" customFormat="1">
      <c r="A100" s="73">
        <f t="shared" si="14"/>
        <v>44286</v>
      </c>
      <c r="B100" s="72">
        <f t="shared" si="8"/>
        <v>157400.17000000001</v>
      </c>
      <c r="C100" s="72">
        <f t="shared" si="10"/>
        <v>8184808.8400000054</v>
      </c>
      <c r="D100" s="57">
        <f t="shared" si="11"/>
        <v>56525.199272244477</v>
      </c>
      <c r="E100" s="101">
        <f t="shared" si="12"/>
        <v>213925.36927224448</v>
      </c>
      <c r="F100" s="113">
        <f t="shared" si="13"/>
        <v>31</v>
      </c>
      <c r="G100" s="123"/>
      <c r="H100" s="58"/>
      <c r="L100" s="56">
        <v>76258.643231333641</v>
      </c>
      <c r="M100" s="202">
        <f t="shared" si="9"/>
        <v>-19733.443959089163</v>
      </c>
    </row>
    <row r="101" spans="1:13" s="56" customFormat="1">
      <c r="A101" s="73">
        <f t="shared" si="14"/>
        <v>44316</v>
      </c>
      <c r="B101" s="72">
        <f t="shared" si="8"/>
        <v>157400.17000000001</v>
      </c>
      <c r="C101" s="72">
        <f t="shared" si="10"/>
        <v>8027408.6700000055</v>
      </c>
      <c r="D101" s="57">
        <f t="shared" si="11"/>
        <v>53649.847944500041</v>
      </c>
      <c r="E101" s="101">
        <f t="shared" si="12"/>
        <v>211050.01794450005</v>
      </c>
      <c r="F101" s="113">
        <f t="shared" si="13"/>
        <v>30</v>
      </c>
      <c r="G101" s="123"/>
      <c r="H101" s="58"/>
      <c r="L101" s="56">
        <v>77285.201938353101</v>
      </c>
      <c r="M101" s="202">
        <f t="shared" si="9"/>
        <v>-23635.353993853059</v>
      </c>
    </row>
    <row r="102" spans="1:13" s="56" customFormat="1">
      <c r="A102" s="73">
        <f t="shared" si="14"/>
        <v>44347</v>
      </c>
      <c r="B102" s="72">
        <f t="shared" si="8"/>
        <v>157400.17000000001</v>
      </c>
      <c r="C102" s="72">
        <f>C101-B101</f>
        <v>7870008.5000000056</v>
      </c>
      <c r="D102" s="57">
        <f t="shared" si="11"/>
        <v>54351.153146388919</v>
      </c>
      <c r="E102" s="101">
        <f t="shared" si="12"/>
        <v>211751.32314638892</v>
      </c>
      <c r="F102" s="113">
        <f t="shared" si="13"/>
        <v>31</v>
      </c>
      <c r="G102" s="123"/>
      <c r="H102" s="58"/>
      <c r="L102" s="56">
        <v>73325.618584833646</v>
      </c>
      <c r="M102" s="202">
        <f t="shared" si="9"/>
        <v>-18974.465438444728</v>
      </c>
    </row>
    <row r="103" spans="1:13" s="56" customFormat="1">
      <c r="A103" s="73">
        <f t="shared" si="14"/>
        <v>44377</v>
      </c>
      <c r="B103" s="72">
        <f t="shared" si="8"/>
        <v>157400.17000000001</v>
      </c>
      <c r="C103" s="72">
        <f t="shared" si="10"/>
        <v>7712608.3300000057</v>
      </c>
      <c r="D103" s="57">
        <f t="shared" si="11"/>
        <v>51545.932338833365</v>
      </c>
      <c r="E103" s="101">
        <f t="shared" si="12"/>
        <v>208946.10233883339</v>
      </c>
      <c r="F103" s="113">
        <f t="shared" si="13"/>
        <v>30</v>
      </c>
      <c r="G103" s="123"/>
      <c r="H103" s="58"/>
      <c r="L103" s="56">
        <v>74254.40980363643</v>
      </c>
      <c r="M103" s="202">
        <f t="shared" si="9"/>
        <v>-22708.477464803065</v>
      </c>
    </row>
    <row r="104" spans="1:13" s="56" customFormat="1">
      <c r="A104" s="73">
        <f t="shared" si="14"/>
        <v>44408</v>
      </c>
      <c r="B104" s="72">
        <f t="shared" si="8"/>
        <v>157400.17000000001</v>
      </c>
      <c r="C104" s="72">
        <f t="shared" si="10"/>
        <v>7555208.1600000057</v>
      </c>
      <c r="D104" s="57">
        <f t="shared" si="11"/>
        <v>52177.107020533374</v>
      </c>
      <c r="E104" s="101">
        <f t="shared" si="12"/>
        <v>209577.27702053339</v>
      </c>
      <c r="F104" s="113">
        <f t="shared" si="13"/>
        <v>31</v>
      </c>
      <c r="G104" s="123"/>
      <c r="H104" s="58"/>
      <c r="L104" s="56">
        <v>72739.013736278095</v>
      </c>
      <c r="M104" s="202">
        <f t="shared" si="9"/>
        <v>-20561.906715744721</v>
      </c>
    </row>
    <row r="105" spans="1:13" s="56" customFormat="1">
      <c r="A105" s="73">
        <f t="shared" si="14"/>
        <v>44439</v>
      </c>
      <c r="B105" s="72">
        <f t="shared" si="8"/>
        <v>157400.17000000001</v>
      </c>
      <c r="C105" s="72">
        <f t="shared" si="10"/>
        <v>7397807.9900000058</v>
      </c>
      <c r="D105" s="57">
        <f t="shared" si="11"/>
        <v>51090.083957605595</v>
      </c>
      <c r="E105" s="101">
        <f t="shared" si="12"/>
        <v>208490.2539576056</v>
      </c>
      <c r="F105" s="113">
        <f t="shared" si="13"/>
        <v>31</v>
      </c>
      <c r="G105" s="123"/>
      <c r="H105" s="58"/>
      <c r="L105" s="56">
        <v>68926.081615083647</v>
      </c>
      <c r="M105" s="202">
        <f t="shared" si="9"/>
        <v>-17835.997657478052</v>
      </c>
    </row>
    <row r="106" spans="1:13" s="56" customFormat="1">
      <c r="A106" s="73">
        <f t="shared" si="14"/>
        <v>44469</v>
      </c>
      <c r="B106" s="72">
        <f t="shared" si="8"/>
        <v>157400.17000000001</v>
      </c>
      <c r="C106" s="72">
        <f t="shared" si="10"/>
        <v>7240407.8200000059</v>
      </c>
      <c r="D106" s="57">
        <f t="shared" si="11"/>
        <v>48390.058930333369</v>
      </c>
      <c r="E106" s="101">
        <f t="shared" si="12"/>
        <v>205790.2289303334</v>
      </c>
      <c r="F106" s="113">
        <f t="shared" si="13"/>
        <v>30</v>
      </c>
      <c r="G106" s="123"/>
      <c r="H106" s="58"/>
      <c r="L106" s="56">
        <v>69708.22160156141</v>
      </c>
      <c r="M106" s="202">
        <f t="shared" si="9"/>
        <v>-21318.162671228041</v>
      </c>
    </row>
    <row r="107" spans="1:13" s="56" customFormat="1">
      <c r="A107" s="73">
        <f t="shared" si="14"/>
        <v>44500</v>
      </c>
      <c r="B107" s="72">
        <f t="shared" si="8"/>
        <v>157400.17000000001</v>
      </c>
      <c r="C107" s="72">
        <f t="shared" si="10"/>
        <v>7083007.650000006</v>
      </c>
      <c r="D107" s="57">
        <f t="shared" si="11"/>
        <v>48916.037831750036</v>
      </c>
      <c r="E107" s="101">
        <f t="shared" si="12"/>
        <v>206316.20783175004</v>
      </c>
      <c r="F107" s="113">
        <f t="shared" si="13"/>
        <v>31</v>
      </c>
      <c r="G107" s="123"/>
      <c r="H107" s="58"/>
      <c r="L107" s="56">
        <v>65993.056968583624</v>
      </c>
      <c r="M107" s="202">
        <f t="shared" si="9"/>
        <v>-17077.019136833587</v>
      </c>
    </row>
    <row r="108" spans="1:13" s="56" customFormat="1">
      <c r="A108" s="73">
        <f t="shared" si="14"/>
        <v>44530</v>
      </c>
      <c r="B108" s="72">
        <f t="shared" si="8"/>
        <v>157400.17000000001</v>
      </c>
      <c r="C108" s="72">
        <f t="shared" si="10"/>
        <v>6925607.480000006</v>
      </c>
      <c r="D108" s="57">
        <f t="shared" si="11"/>
        <v>46286.1433246667</v>
      </c>
      <c r="E108" s="101">
        <f t="shared" si="12"/>
        <v>203686.3133246667</v>
      </c>
      <c r="F108" s="113">
        <f t="shared" si="13"/>
        <v>30</v>
      </c>
      <c r="G108" s="123"/>
      <c r="H108" s="58"/>
      <c r="L108" s="56">
        <v>66677.42946684474</v>
      </c>
      <c r="M108" s="202">
        <f t="shared" si="9"/>
        <v>-20391.28614217804</v>
      </c>
    </row>
    <row r="109" spans="1:13" s="173" customFormat="1">
      <c r="A109" s="166">
        <f t="shared" si="14"/>
        <v>44561</v>
      </c>
      <c r="B109" s="167">
        <f t="shared" ref="B109:B150" si="15">B108</f>
        <v>157400.17000000001</v>
      </c>
      <c r="C109" s="167">
        <f t="shared" si="10"/>
        <v>6768207.3100000061</v>
      </c>
      <c r="D109" s="168">
        <f t="shared" si="11"/>
        <v>46741.991705894477</v>
      </c>
      <c r="E109" s="169">
        <f t="shared" si="12"/>
        <v>204142.16170589448</v>
      </c>
      <c r="F109" s="170">
        <f t="shared" si="13"/>
        <v>31</v>
      </c>
      <c r="G109" s="171">
        <f>SUM(B98:B109)</f>
        <v>1888802.0399999998</v>
      </c>
      <c r="H109" s="171">
        <f>SUM(D98:D109)</f>
        <v>620409.64685100585</v>
      </c>
      <c r="L109" s="173">
        <v>65162.033399486412</v>
      </c>
      <c r="M109" s="203">
        <f t="shared" ref="M109:M151" si="16">D109-L109</f>
        <v>-18420.041693591935</v>
      </c>
    </row>
    <row r="110" spans="1:13" s="56" customFormat="1">
      <c r="A110" s="73">
        <f t="shared" si="14"/>
        <v>44592</v>
      </c>
      <c r="B110" s="72">
        <f t="shared" si="15"/>
        <v>157400.17000000001</v>
      </c>
      <c r="C110" s="72">
        <f t="shared" ref="C110:C149" si="17">C109-B109</f>
        <v>6610807.1400000062</v>
      </c>
      <c r="D110" s="57">
        <f t="shared" ref="D110:D150" si="18">(C110*F110*$C$7)/360</f>
        <v>45654.968642966705</v>
      </c>
      <c r="E110" s="101">
        <f t="shared" si="12"/>
        <v>203055.13864296672</v>
      </c>
      <c r="F110" s="113">
        <f t="shared" si="13"/>
        <v>31</v>
      </c>
      <c r="G110" s="123"/>
      <c r="H110" s="58"/>
      <c r="L110" s="56">
        <v>57487.285332244712</v>
      </c>
      <c r="M110" s="202">
        <f t="shared" si="16"/>
        <v>-11832.316689278006</v>
      </c>
    </row>
    <row r="111" spans="1:13" s="56" customFormat="1">
      <c r="A111" s="73">
        <f t="shared" ref="A111:A151" si="19">EOMONTH(A110,1)</f>
        <v>44620</v>
      </c>
      <c r="B111" s="72">
        <f t="shared" si="15"/>
        <v>157400.17000000001</v>
      </c>
      <c r="C111" s="72">
        <f t="shared" si="17"/>
        <v>6453406.9700000063</v>
      </c>
      <c r="D111" s="57">
        <f t="shared" si="18"/>
        <v>40254.918588422261</v>
      </c>
      <c r="E111" s="101">
        <f t="shared" ref="E111:E150" si="20">B111+D111</f>
        <v>197655.08858842228</v>
      </c>
      <c r="F111" s="113">
        <f t="shared" ref="F111:F151" si="21">A111-A110</f>
        <v>28</v>
      </c>
      <c r="G111" s="123"/>
      <c r="H111" s="58"/>
      <c r="L111" s="56">
        <v>62131.241264769742</v>
      </c>
      <c r="M111" s="202">
        <f t="shared" si="16"/>
        <v>-21876.322676347481</v>
      </c>
    </row>
    <row r="112" spans="1:13" s="56" customFormat="1">
      <c r="A112" s="73">
        <f t="shared" si="19"/>
        <v>44651</v>
      </c>
      <c r="B112" s="72">
        <f t="shared" si="15"/>
        <v>157400.17000000001</v>
      </c>
      <c r="C112" s="72">
        <f t="shared" si="17"/>
        <v>6296006.8000000063</v>
      </c>
      <c r="D112" s="57">
        <f t="shared" si="18"/>
        <v>43480.922517111154</v>
      </c>
      <c r="E112" s="101">
        <f t="shared" si="20"/>
        <v>200881.09251711116</v>
      </c>
      <c r="F112" s="113">
        <f t="shared" si="21"/>
        <v>31</v>
      </c>
      <c r="G112" s="123"/>
      <c r="H112" s="58"/>
      <c r="L112" s="56">
        <v>58660.495352333623</v>
      </c>
      <c r="M112" s="202">
        <f t="shared" si="16"/>
        <v>-15179.572835222469</v>
      </c>
    </row>
    <row r="113" spans="1:13" s="56" customFormat="1">
      <c r="A113" s="73">
        <f t="shared" si="19"/>
        <v>44681</v>
      </c>
      <c r="B113" s="72">
        <f t="shared" si="15"/>
        <v>157400.17000000001</v>
      </c>
      <c r="C113" s="72">
        <f t="shared" si="17"/>
        <v>6138606.6300000064</v>
      </c>
      <c r="D113" s="57">
        <f t="shared" si="18"/>
        <v>41026.354310500035</v>
      </c>
      <c r="E113" s="101">
        <f t="shared" si="20"/>
        <v>198426.52431050004</v>
      </c>
      <c r="F113" s="113">
        <f t="shared" si="21"/>
        <v>30</v>
      </c>
      <c r="G113" s="123"/>
      <c r="H113" s="58"/>
      <c r="L113" s="56">
        <v>59100.449130053064</v>
      </c>
      <c r="M113" s="202">
        <f t="shared" si="16"/>
        <v>-18074.094819553029</v>
      </c>
    </row>
    <row r="114" spans="1:13" s="56" customFormat="1">
      <c r="A114" s="73">
        <f t="shared" si="19"/>
        <v>44712</v>
      </c>
      <c r="B114" s="72">
        <f t="shared" si="15"/>
        <v>157400.17000000001</v>
      </c>
      <c r="C114" s="72">
        <f t="shared" si="17"/>
        <v>5981206.4600000065</v>
      </c>
      <c r="D114" s="57">
        <f t="shared" si="18"/>
        <v>41306.876391255595</v>
      </c>
      <c r="E114" s="101">
        <f t="shared" si="20"/>
        <v>198707.0463912556</v>
      </c>
      <c r="F114" s="113">
        <f t="shared" si="21"/>
        <v>31</v>
      </c>
      <c r="G114" s="123"/>
      <c r="H114" s="58"/>
      <c r="L114" s="56">
        <v>55727.470705833613</v>
      </c>
      <c r="M114" s="202">
        <f t="shared" si="16"/>
        <v>-14420.594314578018</v>
      </c>
    </row>
    <row r="115" spans="1:13" s="56" customFormat="1">
      <c r="A115" s="73">
        <f t="shared" si="19"/>
        <v>44742</v>
      </c>
      <c r="B115" s="72">
        <f t="shared" si="15"/>
        <v>157400.17000000001</v>
      </c>
      <c r="C115" s="72">
        <f t="shared" si="17"/>
        <v>5823806.2900000066</v>
      </c>
      <c r="D115" s="57">
        <f t="shared" si="18"/>
        <v>38922.438704833374</v>
      </c>
      <c r="E115" s="101">
        <f t="shared" si="20"/>
        <v>196322.60870483337</v>
      </c>
      <c r="F115" s="113">
        <f t="shared" si="21"/>
        <v>30</v>
      </c>
      <c r="G115" s="123"/>
      <c r="H115" s="58"/>
      <c r="L115" s="56">
        <v>56069.656995336394</v>
      </c>
      <c r="M115" s="202">
        <f t="shared" si="16"/>
        <v>-17147.21829050302</v>
      </c>
    </row>
    <row r="116" spans="1:13" s="56" customFormat="1">
      <c r="A116" s="73">
        <f t="shared" si="19"/>
        <v>44773</v>
      </c>
      <c r="B116" s="72">
        <f t="shared" si="15"/>
        <v>157400.17000000001</v>
      </c>
      <c r="C116" s="72">
        <f t="shared" si="17"/>
        <v>5666406.1200000066</v>
      </c>
      <c r="D116" s="57">
        <f t="shared" si="18"/>
        <v>39132.830265400044</v>
      </c>
      <c r="E116" s="101">
        <f t="shared" si="20"/>
        <v>196533.00026540004</v>
      </c>
      <c r="F116" s="113">
        <f t="shared" si="21"/>
        <v>31</v>
      </c>
      <c r="G116" s="123"/>
      <c r="H116" s="58"/>
      <c r="L116" s="56">
        <v>54554.260927978059</v>
      </c>
      <c r="M116" s="202">
        <f t="shared" si="16"/>
        <v>-15421.430662578015</v>
      </c>
    </row>
    <row r="117" spans="1:13" s="56" customFormat="1">
      <c r="A117" s="73">
        <f t="shared" si="19"/>
        <v>44804</v>
      </c>
      <c r="B117" s="72">
        <f t="shared" si="15"/>
        <v>157400.17000000001</v>
      </c>
      <c r="C117" s="72">
        <f t="shared" si="17"/>
        <v>5509005.9500000067</v>
      </c>
      <c r="D117" s="57">
        <f t="shared" si="18"/>
        <v>38045.807202472264</v>
      </c>
      <c r="E117" s="101">
        <f t="shared" si="20"/>
        <v>195445.97720247228</v>
      </c>
      <c r="F117" s="113">
        <f t="shared" si="21"/>
        <v>31</v>
      </c>
      <c r="G117" s="123"/>
      <c r="H117" s="58"/>
      <c r="L117" s="56">
        <v>51327.933736083607</v>
      </c>
      <c r="M117" s="202">
        <f t="shared" si="16"/>
        <v>-13282.126533611343</v>
      </c>
    </row>
    <row r="118" spans="1:13" s="56" customFormat="1">
      <c r="A118" s="73">
        <f t="shared" si="19"/>
        <v>44834</v>
      </c>
      <c r="B118" s="72">
        <f t="shared" si="15"/>
        <v>157400.17000000001</v>
      </c>
      <c r="C118" s="72">
        <f t="shared" si="17"/>
        <v>5351605.7800000068</v>
      </c>
      <c r="D118" s="57">
        <f t="shared" si="18"/>
        <v>35766.565296333378</v>
      </c>
      <c r="E118" s="101">
        <f t="shared" si="20"/>
        <v>193166.73529633338</v>
      </c>
      <c r="F118" s="113">
        <f t="shared" si="21"/>
        <v>30</v>
      </c>
      <c r="G118" s="123"/>
      <c r="H118" s="58"/>
      <c r="L118" s="56">
        <v>51523.468793261396</v>
      </c>
      <c r="M118" s="202">
        <f t="shared" si="16"/>
        <v>-15756.903496928018</v>
      </c>
    </row>
    <row r="119" spans="1:13" s="56" customFormat="1">
      <c r="A119" s="73">
        <f t="shared" si="19"/>
        <v>44865</v>
      </c>
      <c r="B119" s="72">
        <f t="shared" si="15"/>
        <v>157400.17000000001</v>
      </c>
      <c r="C119" s="72">
        <f t="shared" si="17"/>
        <v>5194205.6100000069</v>
      </c>
      <c r="D119" s="57">
        <f t="shared" si="18"/>
        <v>35871.761076616705</v>
      </c>
      <c r="E119" s="101">
        <f t="shared" si="20"/>
        <v>193271.93107661672</v>
      </c>
      <c r="F119" s="113">
        <f t="shared" si="21"/>
        <v>31</v>
      </c>
      <c r="G119" s="123"/>
      <c r="H119" s="58"/>
      <c r="L119" s="56">
        <v>48394.909089583605</v>
      </c>
      <c r="M119" s="202">
        <f t="shared" si="16"/>
        <v>-12523.1480129669</v>
      </c>
    </row>
    <row r="120" spans="1:13" s="56" customFormat="1">
      <c r="A120" s="73">
        <f t="shared" si="19"/>
        <v>44895</v>
      </c>
      <c r="B120" s="72">
        <f t="shared" si="15"/>
        <v>157400.17000000001</v>
      </c>
      <c r="C120" s="72">
        <f t="shared" si="17"/>
        <v>5036805.4400000069</v>
      </c>
      <c r="D120" s="57">
        <f t="shared" si="18"/>
        <v>33662.649690666709</v>
      </c>
      <c r="E120" s="101">
        <f t="shared" si="20"/>
        <v>191062.81969066671</v>
      </c>
      <c r="F120" s="113">
        <f t="shared" si="21"/>
        <v>30</v>
      </c>
      <c r="G120" s="123"/>
      <c r="H120" s="58"/>
      <c r="L120" s="56">
        <v>48492.676658544719</v>
      </c>
      <c r="M120" s="202">
        <f t="shared" si="16"/>
        <v>-14830.02696787801</v>
      </c>
    </row>
    <row r="121" spans="1:13" s="173" customFormat="1">
      <c r="A121" s="166">
        <f t="shared" si="19"/>
        <v>44926</v>
      </c>
      <c r="B121" s="167">
        <f t="shared" si="15"/>
        <v>157400.17000000001</v>
      </c>
      <c r="C121" s="167">
        <f t="shared" si="17"/>
        <v>4879405.270000007</v>
      </c>
      <c r="D121" s="168">
        <f t="shared" si="18"/>
        <v>33697.714950761161</v>
      </c>
      <c r="E121" s="169">
        <f t="shared" si="20"/>
        <v>191097.88495076116</v>
      </c>
      <c r="F121" s="170">
        <f t="shared" si="21"/>
        <v>31</v>
      </c>
      <c r="G121" s="171">
        <f>SUM(B110:B121)</f>
        <v>1888802.0399999998</v>
      </c>
      <c r="H121" s="171">
        <f>SUM(D110:D121)</f>
        <v>466823.80763733946</v>
      </c>
      <c r="L121" s="173">
        <v>46977.280591186383</v>
      </c>
      <c r="M121" s="203">
        <f t="shared" si="16"/>
        <v>-13279.565640425222</v>
      </c>
    </row>
    <row r="122" spans="1:13" s="56" customFormat="1">
      <c r="A122" s="73">
        <f t="shared" si="19"/>
        <v>44957</v>
      </c>
      <c r="B122" s="72">
        <f t="shared" si="15"/>
        <v>157400.17000000001</v>
      </c>
      <c r="C122" s="72">
        <f t="shared" si="17"/>
        <v>4722005.1000000071</v>
      </c>
      <c r="D122" s="57">
        <f t="shared" si="18"/>
        <v>32610.691887833385</v>
      </c>
      <c r="E122" s="101">
        <f t="shared" si="20"/>
        <v>190010.86188783339</v>
      </c>
      <c r="F122" s="113">
        <f t="shared" si="21"/>
        <v>31</v>
      </c>
      <c r="G122" s="123"/>
      <c r="H122" s="58"/>
      <c r="L122" s="56">
        <v>41062.347311844685</v>
      </c>
      <c r="M122" s="202">
        <f t="shared" si="16"/>
        <v>-8451.6554240113001</v>
      </c>
    </row>
    <row r="123" spans="1:13" s="56" customFormat="1">
      <c r="A123" s="73">
        <f t="shared" si="19"/>
        <v>44985</v>
      </c>
      <c r="B123" s="72">
        <f t="shared" si="15"/>
        <v>157400.17000000001</v>
      </c>
      <c r="C123" s="72">
        <f t="shared" si="17"/>
        <v>4564604.9300000072</v>
      </c>
      <c r="D123" s="57">
        <f t="shared" si="18"/>
        <v>28472.99119668893</v>
      </c>
      <c r="E123" s="101">
        <f t="shared" si="20"/>
        <v>185873.16119668895</v>
      </c>
      <c r="F123" s="113">
        <f t="shared" si="21"/>
        <v>28</v>
      </c>
      <c r="G123" s="123"/>
      <c r="H123" s="58"/>
      <c r="L123" s="56">
        <v>43946.488456469706</v>
      </c>
      <c r="M123" s="202">
        <f t="shared" si="16"/>
        <v>-15473.497259780775</v>
      </c>
    </row>
    <row r="124" spans="1:13" s="56" customFormat="1">
      <c r="A124" s="73">
        <f t="shared" si="19"/>
        <v>45016</v>
      </c>
      <c r="B124" s="72">
        <f t="shared" si="15"/>
        <v>157400.17000000001</v>
      </c>
      <c r="C124" s="72">
        <f t="shared" si="17"/>
        <v>4407204.7600000072</v>
      </c>
      <c r="D124" s="57">
        <f t="shared" si="18"/>
        <v>30436.645761977823</v>
      </c>
      <c r="E124" s="101">
        <f t="shared" si="20"/>
        <v>187836.81576197784</v>
      </c>
      <c r="F124" s="113">
        <f t="shared" si="21"/>
        <v>31</v>
      </c>
      <c r="G124" s="123"/>
      <c r="H124" s="58"/>
      <c r="L124" s="56">
        <v>41062.34747333359</v>
      </c>
      <c r="M124" s="202">
        <f t="shared" si="16"/>
        <v>-10625.701711355767</v>
      </c>
    </row>
    <row r="125" spans="1:13" s="56" customFormat="1">
      <c r="A125" s="73">
        <f t="shared" si="19"/>
        <v>45046</v>
      </c>
      <c r="B125" s="72">
        <f t="shared" si="15"/>
        <v>157400.17000000001</v>
      </c>
      <c r="C125" s="72">
        <f t="shared" si="17"/>
        <v>4249804.5900000073</v>
      </c>
      <c r="D125" s="57">
        <f t="shared" si="18"/>
        <v>28402.860676500048</v>
      </c>
      <c r="E125" s="101">
        <f t="shared" si="20"/>
        <v>185803.03067650006</v>
      </c>
      <c r="F125" s="113">
        <f t="shared" si="21"/>
        <v>30</v>
      </c>
      <c r="G125" s="123"/>
      <c r="H125" s="58"/>
      <c r="L125" s="56">
        <v>40915.696321753043</v>
      </c>
      <c r="M125" s="202">
        <f t="shared" si="16"/>
        <v>-12512.835645252995</v>
      </c>
    </row>
    <row r="126" spans="1:13" s="56" customFormat="1">
      <c r="A126" s="73">
        <f t="shared" si="19"/>
        <v>45077</v>
      </c>
      <c r="B126" s="72">
        <f t="shared" si="15"/>
        <v>157400.17000000001</v>
      </c>
      <c r="C126" s="72">
        <f t="shared" si="17"/>
        <v>4092404.4200000074</v>
      </c>
      <c r="D126" s="57">
        <f t="shared" si="18"/>
        <v>28262.599636122275</v>
      </c>
      <c r="E126" s="101">
        <f t="shared" si="20"/>
        <v>185662.76963612228</v>
      </c>
      <c r="F126" s="113">
        <f t="shared" si="21"/>
        <v>31</v>
      </c>
      <c r="G126" s="123"/>
      <c r="H126" s="58"/>
      <c r="L126" s="56">
        <v>38129.322826833588</v>
      </c>
      <c r="M126" s="202">
        <f t="shared" si="16"/>
        <v>-9866.7231907113128</v>
      </c>
    </row>
    <row r="127" spans="1:13" s="56" customFormat="1">
      <c r="A127" s="73">
        <f t="shared" si="19"/>
        <v>45107</v>
      </c>
      <c r="B127" s="72">
        <f t="shared" si="15"/>
        <v>157400.17000000001</v>
      </c>
      <c r="C127" s="72">
        <f t="shared" si="17"/>
        <v>3935004.2500000075</v>
      </c>
      <c r="D127" s="57">
        <f t="shared" si="18"/>
        <v>26298.945070833382</v>
      </c>
      <c r="E127" s="101">
        <f t="shared" si="20"/>
        <v>183699.11507083339</v>
      </c>
      <c r="F127" s="113">
        <f t="shared" si="21"/>
        <v>30</v>
      </c>
      <c r="G127" s="123"/>
      <c r="H127" s="58"/>
      <c r="L127" s="56">
        <v>37884.904187036373</v>
      </c>
      <c r="M127" s="202">
        <f t="shared" si="16"/>
        <v>-11585.95911620299</v>
      </c>
    </row>
    <row r="128" spans="1:13" s="56" customFormat="1">
      <c r="A128" s="73">
        <f t="shared" si="19"/>
        <v>45138</v>
      </c>
      <c r="B128" s="72">
        <f t="shared" si="15"/>
        <v>157400.17000000001</v>
      </c>
      <c r="C128" s="72">
        <f t="shared" si="17"/>
        <v>3777604.0800000075</v>
      </c>
      <c r="D128" s="57">
        <f t="shared" si="18"/>
        <v>26088.553510266713</v>
      </c>
      <c r="E128" s="101">
        <f t="shared" si="20"/>
        <v>183488.72351026672</v>
      </c>
      <c r="F128" s="113">
        <f t="shared" si="21"/>
        <v>31</v>
      </c>
      <c r="G128" s="123"/>
      <c r="H128" s="58"/>
      <c r="L128" s="56">
        <v>36369.508119678045</v>
      </c>
      <c r="M128" s="202">
        <f t="shared" si="16"/>
        <v>-10280.954609411332</v>
      </c>
    </row>
    <row r="129" spans="1:13" s="56" customFormat="1">
      <c r="A129" s="73">
        <f t="shared" si="19"/>
        <v>45169</v>
      </c>
      <c r="B129" s="72">
        <f t="shared" si="15"/>
        <v>157400.17000000001</v>
      </c>
      <c r="C129" s="72">
        <f t="shared" si="17"/>
        <v>3620203.9100000076</v>
      </c>
      <c r="D129" s="57">
        <f t="shared" si="18"/>
        <v>25001.530447338941</v>
      </c>
      <c r="E129" s="101">
        <f t="shared" si="20"/>
        <v>182401.70044733895</v>
      </c>
      <c r="F129" s="113">
        <f t="shared" si="21"/>
        <v>31</v>
      </c>
      <c r="G129" s="123"/>
      <c r="H129" s="58"/>
      <c r="L129" s="56">
        <v>33729.785857083589</v>
      </c>
      <c r="M129" s="202">
        <f t="shared" si="16"/>
        <v>-8728.2554097446482</v>
      </c>
    </row>
    <row r="130" spans="1:13" s="56" customFormat="1">
      <c r="A130" s="73">
        <f t="shared" si="19"/>
        <v>45199</v>
      </c>
      <c r="B130" s="72">
        <f t="shared" si="15"/>
        <v>157400.17000000001</v>
      </c>
      <c r="C130" s="72">
        <f t="shared" si="17"/>
        <v>3462803.7400000077</v>
      </c>
      <c r="D130" s="57">
        <f t="shared" si="18"/>
        <v>23143.071662333383</v>
      </c>
      <c r="E130" s="101">
        <f t="shared" si="20"/>
        <v>180543.2416623334</v>
      </c>
      <c r="F130" s="113">
        <f t="shared" si="21"/>
        <v>30</v>
      </c>
      <c r="G130" s="123"/>
      <c r="H130" s="58"/>
      <c r="L130" s="56">
        <v>33338.715984961382</v>
      </c>
      <c r="M130" s="202">
        <f t="shared" si="16"/>
        <v>-10195.644322627999</v>
      </c>
    </row>
    <row r="131" spans="1:13" s="56" customFormat="1">
      <c r="A131" s="73">
        <f t="shared" si="19"/>
        <v>45230</v>
      </c>
      <c r="B131" s="72">
        <f t="shared" si="15"/>
        <v>157400.17000000001</v>
      </c>
      <c r="C131" s="72">
        <f t="shared" si="17"/>
        <v>3305403.5700000077</v>
      </c>
      <c r="D131" s="57">
        <f t="shared" si="18"/>
        <v>22827.484321483385</v>
      </c>
      <c r="E131" s="101">
        <f t="shared" si="20"/>
        <v>180227.65432148339</v>
      </c>
      <c r="F131" s="113">
        <f t="shared" si="21"/>
        <v>31</v>
      </c>
      <c r="G131" s="123"/>
      <c r="H131" s="58"/>
      <c r="L131" s="56">
        <v>30796.761210583594</v>
      </c>
      <c r="M131" s="202">
        <f t="shared" si="16"/>
        <v>-7969.2768891002088</v>
      </c>
    </row>
    <row r="132" spans="1:13" s="56" customFormat="1">
      <c r="A132" s="73">
        <f t="shared" si="19"/>
        <v>45260</v>
      </c>
      <c r="B132" s="72">
        <f t="shared" si="15"/>
        <v>157400.17000000001</v>
      </c>
      <c r="C132" s="72">
        <f t="shared" si="17"/>
        <v>3148003.4000000078</v>
      </c>
      <c r="D132" s="57">
        <f t="shared" si="18"/>
        <v>21039.156056666718</v>
      </c>
      <c r="E132" s="101">
        <f t="shared" si="20"/>
        <v>178439.32605666673</v>
      </c>
      <c r="F132" s="113">
        <f t="shared" si="21"/>
        <v>30</v>
      </c>
      <c r="G132" s="123"/>
      <c r="H132" s="58"/>
      <c r="L132" s="56">
        <v>30307.923850244722</v>
      </c>
      <c r="M132" s="202">
        <f t="shared" si="16"/>
        <v>-9268.7677935780048</v>
      </c>
    </row>
    <row r="133" spans="1:13" s="173" customFormat="1">
      <c r="A133" s="166">
        <f t="shared" si="19"/>
        <v>45291</v>
      </c>
      <c r="B133" s="167">
        <f t="shared" si="15"/>
        <v>157400.17000000001</v>
      </c>
      <c r="C133" s="167">
        <f t="shared" si="17"/>
        <v>2990603.2300000079</v>
      </c>
      <c r="D133" s="168">
        <f t="shared" si="18"/>
        <v>20653.43819562783</v>
      </c>
      <c r="E133" s="169">
        <f t="shared" si="20"/>
        <v>178053.60819562784</v>
      </c>
      <c r="F133" s="170">
        <f t="shared" si="21"/>
        <v>31</v>
      </c>
      <c r="G133" s="171">
        <f>SUM(B122:B133)</f>
        <v>1888802.0399999998</v>
      </c>
      <c r="H133" s="171">
        <f>SUM(D122:D133)</f>
        <v>313237.96842367278</v>
      </c>
      <c r="L133" s="173">
        <v>28792.527782886391</v>
      </c>
      <c r="M133" s="203">
        <f t="shared" si="16"/>
        <v>-8139.0895872585606</v>
      </c>
    </row>
    <row r="134" spans="1:13" s="56" customFormat="1">
      <c r="A134" s="73">
        <f t="shared" si="19"/>
        <v>45322</v>
      </c>
      <c r="B134" s="72">
        <f t="shared" si="15"/>
        <v>157400.17000000001</v>
      </c>
      <c r="C134" s="72">
        <f t="shared" si="17"/>
        <v>2833203.060000008</v>
      </c>
      <c r="D134" s="57">
        <f t="shared" si="18"/>
        <v>19566.415132700055</v>
      </c>
      <c r="E134" s="101">
        <f t="shared" si="20"/>
        <v>176966.58513270007</v>
      </c>
      <c r="F134" s="113">
        <f t="shared" si="21"/>
        <v>31</v>
      </c>
      <c r="G134" s="123"/>
      <c r="H134" s="58"/>
      <c r="L134" s="56">
        <v>24637.409291444699</v>
      </c>
      <c r="M134" s="202">
        <f t="shared" si="16"/>
        <v>-5070.9941587446447</v>
      </c>
    </row>
    <row r="135" spans="1:13" s="56" customFormat="1">
      <c r="A135" s="73">
        <f t="shared" si="19"/>
        <v>45351</v>
      </c>
      <c r="B135" s="72">
        <f t="shared" si="15"/>
        <v>157400.17000000001</v>
      </c>
      <c r="C135" s="72">
        <f t="shared" si="17"/>
        <v>2675802.890000008</v>
      </c>
      <c r="D135" s="57">
        <f t="shared" si="18"/>
        <v>17287.173226561164</v>
      </c>
      <c r="E135" s="101">
        <f t="shared" si="20"/>
        <v>174687.34322656118</v>
      </c>
      <c r="F135" s="113">
        <f t="shared" si="21"/>
        <v>29</v>
      </c>
      <c r="G135" s="123"/>
      <c r="H135" s="58"/>
      <c r="L135" s="56">
        <v>25761.735648169728</v>
      </c>
      <c r="M135" s="202">
        <f t="shared" si="16"/>
        <v>-8474.5624216085635</v>
      </c>
    </row>
    <row r="136" spans="1:13" s="56" customFormat="1">
      <c r="A136" s="73">
        <f t="shared" si="19"/>
        <v>45382</v>
      </c>
      <c r="B136" s="72">
        <f t="shared" si="15"/>
        <v>157400.17000000001</v>
      </c>
      <c r="C136" s="72">
        <f t="shared" si="17"/>
        <v>2518402.7200000081</v>
      </c>
      <c r="D136" s="57">
        <f t="shared" si="18"/>
        <v>17392.369006844499</v>
      </c>
      <c r="E136" s="101">
        <f t="shared" si="20"/>
        <v>174792.53900684451</v>
      </c>
      <c r="F136" s="113">
        <f t="shared" si="21"/>
        <v>31</v>
      </c>
      <c r="G136" s="123"/>
      <c r="H136" s="58"/>
      <c r="L136" s="56">
        <v>23464.199594333608</v>
      </c>
      <c r="M136" s="202">
        <f t="shared" si="16"/>
        <v>-6071.8305874891084</v>
      </c>
    </row>
    <row r="137" spans="1:13" s="56" customFormat="1">
      <c r="A137" s="73">
        <f t="shared" si="19"/>
        <v>45412</v>
      </c>
      <c r="B137" s="72">
        <f t="shared" si="15"/>
        <v>157400.17000000001</v>
      </c>
      <c r="C137" s="72">
        <f t="shared" si="17"/>
        <v>2361002.5500000082</v>
      </c>
      <c r="D137" s="57">
        <f t="shared" si="18"/>
        <v>15779.367042500053</v>
      </c>
      <c r="E137" s="101">
        <f t="shared" si="20"/>
        <v>173179.53704250007</v>
      </c>
      <c r="F137" s="113">
        <f t="shared" si="21"/>
        <v>30</v>
      </c>
      <c r="G137" s="123"/>
      <c r="H137" s="58"/>
      <c r="L137" s="56">
        <v>22730.943513453061</v>
      </c>
      <c r="M137" s="202">
        <f t="shared" si="16"/>
        <v>-6951.5764709530085</v>
      </c>
    </row>
    <row r="138" spans="1:13" s="56" customFormat="1">
      <c r="A138" s="73">
        <f t="shared" si="19"/>
        <v>45443</v>
      </c>
      <c r="B138" s="72">
        <f t="shared" si="15"/>
        <v>157400.17000000001</v>
      </c>
      <c r="C138" s="72">
        <f t="shared" si="17"/>
        <v>2203602.3800000083</v>
      </c>
      <c r="D138" s="57">
        <f t="shared" si="18"/>
        <v>15218.322880988942</v>
      </c>
      <c r="E138" s="101">
        <f t="shared" si="20"/>
        <v>172618.49288098895</v>
      </c>
      <c r="F138" s="113">
        <f t="shared" si="21"/>
        <v>31</v>
      </c>
      <c r="G138" s="123"/>
      <c r="H138" s="58"/>
      <c r="L138" s="56">
        <v>20531.17494783361</v>
      </c>
      <c r="M138" s="202">
        <f t="shared" si="16"/>
        <v>-5312.8520668446672</v>
      </c>
    </row>
    <row r="139" spans="1:13" s="56" customFormat="1">
      <c r="A139" s="73">
        <f t="shared" si="19"/>
        <v>45473</v>
      </c>
      <c r="B139" s="72">
        <f t="shared" si="15"/>
        <v>157400.17000000001</v>
      </c>
      <c r="C139" s="72">
        <f t="shared" si="17"/>
        <v>2046202.2100000083</v>
      </c>
      <c r="D139" s="57">
        <f t="shared" si="18"/>
        <v>13675.451436833388</v>
      </c>
      <c r="E139" s="101">
        <f t="shared" si="20"/>
        <v>171075.6214368334</v>
      </c>
      <c r="F139" s="113">
        <f t="shared" si="21"/>
        <v>30</v>
      </c>
      <c r="G139" s="123"/>
      <c r="H139" s="58"/>
      <c r="L139" s="56">
        <v>19700.151378736398</v>
      </c>
      <c r="M139" s="202">
        <f t="shared" si="16"/>
        <v>-6024.6999419030108</v>
      </c>
    </row>
    <row r="140" spans="1:13" s="56" customFormat="1">
      <c r="A140" s="73">
        <f t="shared" si="19"/>
        <v>45504</v>
      </c>
      <c r="B140" s="72">
        <f t="shared" si="15"/>
        <v>157400.17000000001</v>
      </c>
      <c r="C140" s="72">
        <f t="shared" si="17"/>
        <v>1888802.0400000084</v>
      </c>
      <c r="D140" s="57">
        <f t="shared" si="18"/>
        <v>13044.276755133391</v>
      </c>
      <c r="E140" s="101">
        <f t="shared" si="20"/>
        <v>170444.44675513339</v>
      </c>
      <c r="F140" s="113">
        <f t="shared" si="21"/>
        <v>31</v>
      </c>
      <c r="G140" s="123"/>
      <c r="H140" s="58"/>
      <c r="L140" s="56">
        <v>18184.755311378067</v>
      </c>
      <c r="M140" s="202">
        <f t="shared" si="16"/>
        <v>-5140.4785562446759</v>
      </c>
    </row>
    <row r="141" spans="1:13" s="56" customFormat="1">
      <c r="A141" s="73">
        <f t="shared" si="19"/>
        <v>45535</v>
      </c>
      <c r="B141" s="72">
        <f t="shared" si="15"/>
        <v>157400.17000000001</v>
      </c>
      <c r="C141" s="72">
        <f t="shared" si="17"/>
        <v>1731401.8700000085</v>
      </c>
      <c r="D141" s="57">
        <f t="shared" si="18"/>
        <v>11957.253692205615</v>
      </c>
      <c r="E141" s="101">
        <f t="shared" si="20"/>
        <v>169357.42369220563</v>
      </c>
      <c r="F141" s="113">
        <f t="shared" si="21"/>
        <v>31</v>
      </c>
      <c r="G141" s="123"/>
      <c r="H141" s="58"/>
      <c r="L141" s="56">
        <v>16131.637978083614</v>
      </c>
      <c r="M141" s="202">
        <f t="shared" si="16"/>
        <v>-4174.384285877999</v>
      </c>
    </row>
    <row r="142" spans="1:13" s="56" customFormat="1">
      <c r="A142" s="73">
        <f t="shared" si="19"/>
        <v>45565</v>
      </c>
      <c r="B142" s="72">
        <f t="shared" si="15"/>
        <v>157400.17000000001</v>
      </c>
      <c r="C142" s="72">
        <f t="shared" si="17"/>
        <v>1574001.7000000086</v>
      </c>
      <c r="D142" s="57">
        <f t="shared" si="18"/>
        <v>10519.57802833339</v>
      </c>
      <c r="E142" s="101">
        <f t="shared" si="20"/>
        <v>167919.74802833342</v>
      </c>
      <c r="F142" s="113">
        <f t="shared" si="21"/>
        <v>30</v>
      </c>
      <c r="G142" s="123"/>
      <c r="H142" s="58"/>
      <c r="L142" s="56">
        <v>15153.963176661398</v>
      </c>
      <c r="M142" s="202">
        <f t="shared" si="16"/>
        <v>-4634.3851483280087</v>
      </c>
    </row>
    <row r="143" spans="1:13" s="56" customFormat="1">
      <c r="A143" s="73">
        <f t="shared" si="19"/>
        <v>45596</v>
      </c>
      <c r="B143" s="72">
        <f t="shared" si="15"/>
        <v>157400.17000000001</v>
      </c>
      <c r="C143" s="72">
        <f t="shared" si="17"/>
        <v>1416601.5300000086</v>
      </c>
      <c r="D143" s="57">
        <f t="shared" si="18"/>
        <v>9783.20756635006</v>
      </c>
      <c r="E143" s="101">
        <f t="shared" si="20"/>
        <v>167183.37756635007</v>
      </c>
      <c r="F143" s="113">
        <f t="shared" si="21"/>
        <v>31</v>
      </c>
      <c r="G143" s="123"/>
      <c r="H143" s="58"/>
      <c r="L143" s="56">
        <v>13198.61333158361</v>
      </c>
      <c r="M143" s="202">
        <f t="shared" si="16"/>
        <v>-3415.4057652335505</v>
      </c>
    </row>
    <row r="144" spans="1:13" s="56" customFormat="1">
      <c r="A144" s="73">
        <f t="shared" si="19"/>
        <v>45626</v>
      </c>
      <c r="B144" s="72">
        <f t="shared" si="15"/>
        <v>157400.17000000001</v>
      </c>
      <c r="C144" s="72">
        <f t="shared" si="17"/>
        <v>1259201.3600000087</v>
      </c>
      <c r="D144" s="57">
        <f t="shared" si="18"/>
        <v>8415.6624226667245</v>
      </c>
      <c r="E144" s="101">
        <f t="shared" si="20"/>
        <v>165815.83242266675</v>
      </c>
      <c r="F144" s="113">
        <f t="shared" si="21"/>
        <v>30</v>
      </c>
      <c r="G144" s="123"/>
      <c r="H144" s="58"/>
      <c r="L144" s="56">
        <v>12123.17104194473</v>
      </c>
      <c r="M144" s="202">
        <f t="shared" si="16"/>
        <v>-3707.5086192780054</v>
      </c>
    </row>
    <row r="145" spans="1:13" s="173" customFormat="1">
      <c r="A145" s="166">
        <f t="shared" si="19"/>
        <v>45657</v>
      </c>
      <c r="B145" s="167">
        <f t="shared" si="15"/>
        <v>157400.17000000001</v>
      </c>
      <c r="C145" s="167">
        <f t="shared" si="17"/>
        <v>1101801.1900000088</v>
      </c>
      <c r="D145" s="168">
        <f t="shared" si="18"/>
        <v>7609.1614404945039</v>
      </c>
      <c r="E145" s="169">
        <f t="shared" si="20"/>
        <v>165009.33144049451</v>
      </c>
      <c r="F145" s="170">
        <f t="shared" si="21"/>
        <v>31</v>
      </c>
      <c r="G145" s="171">
        <f>SUM(B134:B145)</f>
        <v>1888802.0399999998</v>
      </c>
      <c r="H145" s="171">
        <f>SUM(D134:D145)</f>
        <v>160248.23863161181</v>
      </c>
      <c r="L145" s="173">
        <v>10607.774974586397</v>
      </c>
      <c r="M145" s="203">
        <f t="shared" si="16"/>
        <v>-2998.6135340918927</v>
      </c>
    </row>
    <row r="146" spans="1:13" s="56" customFormat="1">
      <c r="A146" s="73">
        <f t="shared" si="19"/>
        <v>45688</v>
      </c>
      <c r="B146" s="72">
        <f t="shared" si="15"/>
        <v>157400.17000000001</v>
      </c>
      <c r="C146" s="72">
        <f t="shared" si="17"/>
        <v>944401.02000000875</v>
      </c>
      <c r="D146" s="57">
        <f t="shared" si="18"/>
        <v>6522.1383775667273</v>
      </c>
      <c r="E146" s="101">
        <f t="shared" si="20"/>
        <v>163922.30837756675</v>
      </c>
      <c r="F146" s="113">
        <f t="shared" si="21"/>
        <v>31</v>
      </c>
      <c r="G146" s="123"/>
      <c r="H146" s="58"/>
      <c r="L146" s="56">
        <v>8505.7738164391576</v>
      </c>
      <c r="M146" s="202">
        <f t="shared" si="16"/>
        <v>-1983.6354388724303</v>
      </c>
    </row>
    <row r="147" spans="1:13" s="56" customFormat="1">
      <c r="A147" s="73">
        <f t="shared" si="19"/>
        <v>45716</v>
      </c>
      <c r="B147" s="72">
        <f t="shared" si="15"/>
        <v>157400.17000000001</v>
      </c>
      <c r="C147" s="72">
        <f t="shared" si="17"/>
        <v>787000.85000000871</v>
      </c>
      <c r="D147" s="57">
        <f t="shared" si="18"/>
        <v>4909.1364132222761</v>
      </c>
      <c r="E147" s="101">
        <f t="shared" si="20"/>
        <v>162309.30641322228</v>
      </c>
      <c r="F147" s="113">
        <f t="shared" si="21"/>
        <v>28</v>
      </c>
      <c r="G147" s="123"/>
      <c r="H147" s="58"/>
      <c r="L147" s="56">
        <v>7576.9828398697309</v>
      </c>
      <c r="M147" s="202">
        <f t="shared" si="16"/>
        <v>-2667.8464266474548</v>
      </c>
    </row>
    <row r="148" spans="1:13" s="56" customFormat="1">
      <c r="A148" s="73">
        <f t="shared" si="19"/>
        <v>45747</v>
      </c>
      <c r="B148" s="72">
        <f t="shared" si="15"/>
        <v>157400.17000000001</v>
      </c>
      <c r="C148" s="72">
        <f t="shared" si="17"/>
        <v>629600.68000000867</v>
      </c>
      <c r="D148" s="57">
        <f t="shared" si="18"/>
        <v>4348.0922517111712</v>
      </c>
      <c r="E148" s="101">
        <f t="shared" si="20"/>
        <v>161748.26225171119</v>
      </c>
      <c r="F148" s="113">
        <f t="shared" si="21"/>
        <v>31</v>
      </c>
      <c r="G148" s="123"/>
      <c r="H148" s="58"/>
      <c r="L148" s="56">
        <v>5866.0517153336095</v>
      </c>
      <c r="M148" s="202">
        <f t="shared" si="16"/>
        <v>-1517.9594636224383</v>
      </c>
    </row>
    <row r="149" spans="1:13" s="56" customFormat="1">
      <c r="A149" s="73">
        <f t="shared" si="19"/>
        <v>45777</v>
      </c>
      <c r="B149" s="72">
        <f t="shared" si="15"/>
        <v>157400.17000000001</v>
      </c>
      <c r="C149" s="72">
        <f t="shared" si="17"/>
        <v>472200.51000000862</v>
      </c>
      <c r="D149" s="57">
        <f t="shared" si="18"/>
        <v>3155.8734085000574</v>
      </c>
      <c r="E149" s="101">
        <f t="shared" si="20"/>
        <v>160556.04340850006</v>
      </c>
      <c r="F149" s="113">
        <f t="shared" si="21"/>
        <v>30</v>
      </c>
      <c r="G149" s="123"/>
      <c r="H149" s="58"/>
      <c r="L149" s="56">
        <v>4546.1907051530634</v>
      </c>
      <c r="M149" s="202">
        <f t="shared" si="16"/>
        <v>-1390.317296653006</v>
      </c>
    </row>
    <row r="150" spans="1:13" s="56" customFormat="1">
      <c r="A150" s="73">
        <f t="shared" si="19"/>
        <v>45808</v>
      </c>
      <c r="B150" s="72">
        <f t="shared" si="15"/>
        <v>157400.17000000001</v>
      </c>
      <c r="C150" s="72">
        <f>C149-B149</f>
        <v>314800.34000000858</v>
      </c>
      <c r="D150" s="57">
        <f t="shared" si="18"/>
        <v>2174.0461258556143</v>
      </c>
      <c r="E150" s="101">
        <f t="shared" si="20"/>
        <v>159574.21612585563</v>
      </c>
      <c r="F150" s="113">
        <f t="shared" si="21"/>
        <v>31</v>
      </c>
      <c r="G150" s="123"/>
      <c r="H150" s="58"/>
      <c r="L150" s="56">
        <v>2933.0270688336095</v>
      </c>
      <c r="M150" s="202">
        <f t="shared" si="16"/>
        <v>-758.98094297799526</v>
      </c>
    </row>
    <row r="151" spans="1:13" s="56" customFormat="1" ht="13.8" thickBot="1">
      <c r="A151" s="73">
        <f t="shared" si="19"/>
        <v>45838</v>
      </c>
      <c r="B151" s="72">
        <f>B150-2</f>
        <v>157398.17000000001</v>
      </c>
      <c r="C151" s="72">
        <f>C150-B150</f>
        <v>157400.17000000857</v>
      </c>
      <c r="D151" s="57">
        <f>(C151*F151*$C$7)/360</f>
        <v>1051.9578028333904</v>
      </c>
      <c r="E151" s="101">
        <f>B151+D151</f>
        <v>158450.12780283339</v>
      </c>
      <c r="F151" s="113">
        <f t="shared" si="21"/>
        <v>30</v>
      </c>
      <c r="G151" s="123"/>
      <c r="H151" s="58"/>
      <c r="L151" s="56">
        <v>1515.3985704363963</v>
      </c>
      <c r="M151" s="202">
        <f t="shared" si="16"/>
        <v>-463.44076760300595</v>
      </c>
    </row>
    <row r="152" spans="1:13" s="56" customFormat="1" ht="13.8" thickBot="1">
      <c r="A152" s="102" t="s">
        <v>40</v>
      </c>
      <c r="B152" s="103">
        <f>SUM(B42:B151)</f>
        <v>16999218.359999996</v>
      </c>
      <c r="C152" s="104"/>
      <c r="D152" s="105">
        <f>SUM(D44:D151)</f>
        <v>6283379.0215836</v>
      </c>
      <c r="E152" s="106">
        <f>SUM(E46:E151)</f>
        <v>22734085.083054136</v>
      </c>
      <c r="F152" s="113"/>
      <c r="G152" s="146">
        <f>SUM(B146:B151)</f>
        <v>944399.02000000014</v>
      </c>
      <c r="H152" s="146">
        <f>SUM(D146:D151)</f>
        <v>22161.244379689237</v>
      </c>
    </row>
    <row r="153" spans="1:13" s="56" customFormat="1">
      <c r="A153" s="107"/>
      <c r="B153" s="108"/>
      <c r="C153" s="107"/>
      <c r="D153" s="109"/>
      <c r="E153" s="109"/>
      <c r="F153" s="89"/>
    </row>
    <row r="154" spans="1:13">
      <c r="A154" s="382" t="s">
        <v>50</v>
      </c>
      <c r="B154" s="382"/>
      <c r="C154" s="382"/>
      <c r="D154" s="382"/>
      <c r="E154" s="382"/>
    </row>
    <row r="155" spans="1:13">
      <c r="G155">
        <f>SUM(G55:G152)</f>
        <v>16841816.189999998</v>
      </c>
      <c r="H155">
        <f>SUM(H55:H152)</f>
        <v>6171415.6461020363</v>
      </c>
    </row>
    <row r="156" spans="1:13" s="56" customFormat="1">
      <c r="A156" s="107" t="s">
        <v>41</v>
      </c>
      <c r="B156" s="107"/>
      <c r="C156" s="109">
        <f>B152</f>
        <v>16999218.359999996</v>
      </c>
      <c r="D156" s="56" t="s">
        <v>51</v>
      </c>
      <c r="E156" s="109"/>
      <c r="F156" s="107"/>
    </row>
    <row r="157" spans="1:13" s="56" customFormat="1">
      <c r="A157" s="107" t="s">
        <v>32</v>
      </c>
      <c r="B157" s="107"/>
      <c r="C157" s="109">
        <f>D152+F27</f>
        <v>6447566.243805822</v>
      </c>
      <c r="D157" s="56" t="s">
        <v>51</v>
      </c>
      <c r="E157" s="109"/>
      <c r="F157" s="107"/>
    </row>
    <row r="158" spans="1:13" s="56" customFormat="1">
      <c r="A158" s="107" t="s">
        <v>17</v>
      </c>
      <c r="B158" s="107"/>
      <c r="C158" s="109">
        <f>0.75%*C156</f>
        <v>127494.13769999996</v>
      </c>
      <c r="D158" s="56" t="s">
        <v>51</v>
      </c>
      <c r="E158" s="109"/>
      <c r="F158" s="107"/>
    </row>
    <row r="167" spans="3:3">
      <c r="C167" s="200"/>
    </row>
  </sheetData>
  <mergeCells count="7">
    <mergeCell ref="A154:E154"/>
    <mergeCell ref="A39:B39"/>
    <mergeCell ref="A40:B40"/>
    <mergeCell ref="A7:B7"/>
    <mergeCell ref="A11:B11"/>
    <mergeCell ref="A12:B12"/>
    <mergeCell ref="A35:B35"/>
  </mergeCells>
  <pageMargins left="0.31" right="0.2" top="0.16" bottom="0.16" header="0.16" footer="0.16"/>
  <pageSetup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382"/>
  <sheetViews>
    <sheetView topLeftCell="B2" workbookViewId="0">
      <selection activeCell="F88" sqref="F88"/>
    </sheetView>
  </sheetViews>
  <sheetFormatPr defaultColWidth="9.33203125" defaultRowHeight="14.4"/>
  <cols>
    <col min="1" max="1" width="0" style="250" hidden="1" customWidth="1"/>
    <col min="2" max="2" width="11.77734375" style="249" bestFit="1" customWidth="1"/>
    <col min="3" max="3" width="11.77734375" style="249" hidden="1" customWidth="1"/>
    <col min="4" max="4" width="17.33203125" style="249" customWidth="1"/>
    <col min="5" max="6" width="16.6640625" style="250" bestFit="1" customWidth="1"/>
    <col min="7" max="7" width="16.6640625" style="251" bestFit="1" customWidth="1"/>
    <col min="8" max="8" width="15.44140625" style="251" customWidth="1"/>
    <col min="9" max="9" width="16.6640625" style="250" bestFit="1" customWidth="1"/>
    <col min="10" max="10" width="9.33203125" style="250"/>
    <col min="11" max="11" width="16.6640625" style="250" bestFit="1" customWidth="1"/>
    <col min="12" max="12" width="15.44140625" style="250" bestFit="1" customWidth="1"/>
    <col min="13" max="13" width="9.33203125" style="250"/>
    <col min="14" max="14" width="12.33203125" style="250" bestFit="1" customWidth="1"/>
    <col min="15" max="26" width="13.6640625" style="250" bestFit="1" customWidth="1"/>
    <col min="27" max="29" width="9.33203125" style="250"/>
    <col min="30" max="30" width="10.44140625" style="250" bestFit="1" customWidth="1"/>
    <col min="31" max="16384" width="9.33203125" style="250"/>
  </cols>
  <sheetData>
    <row r="1" spans="2:30" hidden="1">
      <c r="B1" s="249" t="s">
        <v>95</v>
      </c>
      <c r="E1" s="250">
        <v>4.55</v>
      </c>
    </row>
    <row r="3" spans="2:30">
      <c r="B3" s="384" t="s">
        <v>129</v>
      </c>
      <c r="C3" s="384"/>
      <c r="D3" s="384"/>
      <c r="E3" s="384"/>
      <c r="F3" s="384"/>
      <c r="G3" s="384"/>
      <c r="H3" s="384"/>
      <c r="I3" s="384"/>
    </row>
    <row r="4" spans="2:30">
      <c r="B4" s="252" t="s">
        <v>96</v>
      </c>
      <c r="E4" s="251">
        <v>10181818.24</v>
      </c>
      <c r="F4" s="253" t="s">
        <v>97</v>
      </c>
      <c r="N4" s="250">
        <v>2018</v>
      </c>
      <c r="O4" s="250">
        <f>N4+1</f>
        <v>2019</v>
      </c>
      <c r="P4" s="250">
        <f t="shared" ref="P4:Z4" si="0">O4+1</f>
        <v>2020</v>
      </c>
      <c r="Q4" s="250">
        <f t="shared" si="0"/>
        <v>2021</v>
      </c>
      <c r="R4" s="250">
        <f t="shared" si="0"/>
        <v>2022</v>
      </c>
      <c r="S4" s="250">
        <f t="shared" si="0"/>
        <v>2023</v>
      </c>
      <c r="T4" s="250">
        <f t="shared" si="0"/>
        <v>2024</v>
      </c>
      <c r="U4" s="250">
        <f t="shared" si="0"/>
        <v>2025</v>
      </c>
      <c r="V4" s="250">
        <f t="shared" si="0"/>
        <v>2026</v>
      </c>
      <c r="W4" s="250">
        <f t="shared" si="0"/>
        <v>2027</v>
      </c>
      <c r="X4" s="250">
        <f t="shared" si="0"/>
        <v>2028</v>
      </c>
      <c r="Y4" s="250">
        <f t="shared" si="0"/>
        <v>2029</v>
      </c>
      <c r="Z4" s="250">
        <f t="shared" si="0"/>
        <v>2030</v>
      </c>
    </row>
    <row r="5" spans="2:30">
      <c r="B5" s="254"/>
      <c r="C5" s="254"/>
      <c r="D5" s="254"/>
      <c r="E5" s="255">
        <f>E4</f>
        <v>10181818.24</v>
      </c>
      <c r="F5" s="256" t="s">
        <v>97</v>
      </c>
    </row>
    <row r="6" spans="2:30">
      <c r="B6" s="249" t="s">
        <v>133</v>
      </c>
      <c r="E6" s="257">
        <v>6.0999999999999999E-2</v>
      </c>
      <c r="M6" s="250" t="s">
        <v>58</v>
      </c>
      <c r="N6" s="250">
        <f>K25</f>
        <v>0</v>
      </c>
      <c r="O6" s="253">
        <f>K37</f>
        <v>866537.72255319124</v>
      </c>
      <c r="P6" s="253">
        <f>K49</f>
        <v>866537.72255319124</v>
      </c>
      <c r="Q6" s="253">
        <f>K61</f>
        <v>866537.72255319124</v>
      </c>
      <c r="R6" s="253">
        <f>K73</f>
        <v>866537.72255319124</v>
      </c>
      <c r="S6" s="253">
        <f>K85</f>
        <v>866537.72255319124</v>
      </c>
      <c r="T6" s="253">
        <f>K97</f>
        <v>866537.72255319124</v>
      </c>
      <c r="U6" s="253">
        <f>K109</f>
        <v>866537.72255319124</v>
      </c>
      <c r="V6" s="253">
        <f>K121</f>
        <v>866537.72255319124</v>
      </c>
      <c r="W6" s="253">
        <f>K133</f>
        <v>866537.72255319124</v>
      </c>
      <c r="X6" s="253">
        <f>K145</f>
        <v>866537.72255319124</v>
      </c>
      <c r="Y6" s="253">
        <f>K157</f>
        <v>866537.72255319124</v>
      </c>
      <c r="Z6" s="253">
        <f>K166</f>
        <v>649903.29191489355</v>
      </c>
      <c r="AD6" s="250">
        <f>SUM(N6:AC6)</f>
        <v>10181818.24</v>
      </c>
    </row>
    <row r="7" spans="2:30">
      <c r="B7" s="249" t="s">
        <v>22</v>
      </c>
      <c r="E7" s="257">
        <v>5.5999999999999999E-3</v>
      </c>
      <c r="M7" s="250" t="s">
        <v>20</v>
      </c>
      <c r="N7" s="253">
        <f>L25</f>
        <v>173294.54644479998</v>
      </c>
      <c r="O7" s="253">
        <f>L37</f>
        <v>660581.92511582386</v>
      </c>
      <c r="P7" s="253">
        <f>L49</f>
        <v>603778.93317292456</v>
      </c>
      <c r="Q7" s="253">
        <f>L61</f>
        <v>543556.00568501512</v>
      </c>
      <c r="R7" s="253">
        <f>L73</f>
        <v>485043.04596961086</v>
      </c>
      <c r="S7" s="253">
        <f>L85</f>
        <v>426530.08625420643</v>
      </c>
      <c r="T7" s="253">
        <f>L97</f>
        <v>369085.8563966176</v>
      </c>
      <c r="U7" s="253">
        <f>L109</f>
        <v>309504.16682339762</v>
      </c>
      <c r="V7" s="253">
        <f>L121</f>
        <v>250991.20710799322</v>
      </c>
      <c r="W7" s="253">
        <f>L133</f>
        <v>192478.24739258888</v>
      </c>
      <c r="X7" s="253">
        <f>L145</f>
        <v>134392.77962031076</v>
      </c>
      <c r="Y7" s="253">
        <f>L157</f>
        <v>75452.327961780305</v>
      </c>
      <c r="Z7" s="253">
        <f>L166</f>
        <v>18168.407582864351</v>
      </c>
      <c r="AD7" s="250">
        <f>SUM(N7:AC7)</f>
        <v>4242857.5355279334</v>
      </c>
    </row>
    <row r="8" spans="2:30">
      <c r="B8" s="254"/>
      <c r="C8" s="254"/>
      <c r="D8" s="254"/>
      <c r="E8" s="258">
        <f>E6+E7</f>
        <v>6.6599999999999993E-2</v>
      </c>
    </row>
    <row r="9" spans="2:30">
      <c r="B9" s="259" t="s">
        <v>130</v>
      </c>
      <c r="E9" s="260"/>
    </row>
    <row r="10" spans="2:30">
      <c r="B10" s="259"/>
      <c r="E10" s="261"/>
    </row>
    <row r="11" spans="2:30" hidden="1">
      <c r="B11" s="249">
        <v>43100</v>
      </c>
      <c r="E11" s="257"/>
      <c r="F11" s="257"/>
    </row>
    <row r="12" spans="2:30">
      <c r="B12" s="262" t="s">
        <v>98</v>
      </c>
      <c r="C12" s="262"/>
      <c r="D12" s="262" t="s">
        <v>99</v>
      </c>
      <c r="E12" s="263" t="s">
        <v>100</v>
      </c>
      <c r="F12" s="262" t="s">
        <v>36</v>
      </c>
      <c r="G12" s="264" t="s">
        <v>32</v>
      </c>
      <c r="H12" s="264" t="s">
        <v>17</v>
      </c>
      <c r="I12" s="262" t="s">
        <v>40</v>
      </c>
    </row>
    <row r="13" spans="2:30">
      <c r="B13" s="265">
        <v>1</v>
      </c>
      <c r="C13" s="265"/>
      <c r="D13" s="265">
        <v>2</v>
      </c>
      <c r="E13" s="265">
        <v>3</v>
      </c>
      <c r="F13" s="265">
        <v>4</v>
      </c>
      <c r="G13" s="265">
        <v>5</v>
      </c>
      <c r="H13" s="265">
        <v>6</v>
      </c>
      <c r="I13" s="265" t="s">
        <v>101</v>
      </c>
    </row>
    <row r="14" spans="2:30">
      <c r="B14" s="266">
        <v>43131</v>
      </c>
      <c r="C14" s="266">
        <f t="shared" ref="C14:C24" si="1">B15</f>
        <v>43159</v>
      </c>
      <c r="D14" s="267"/>
      <c r="E14" s="268"/>
      <c r="F14" s="268"/>
      <c r="G14" s="267">
        <f>(B14-B11)*E8*F14/360</f>
        <v>0</v>
      </c>
      <c r="H14" s="267"/>
      <c r="I14" s="269"/>
    </row>
    <row r="15" spans="2:30">
      <c r="B15" s="266">
        <f>EOMONTH(B14,1)</f>
        <v>43159</v>
      </c>
      <c r="C15" s="266">
        <f t="shared" si="1"/>
        <v>43190</v>
      </c>
      <c r="D15" s="267"/>
      <c r="E15" s="268"/>
      <c r="F15" s="268"/>
      <c r="G15" s="267">
        <f>(B15-B14)*$E$8*F15/360</f>
        <v>0</v>
      </c>
      <c r="H15" s="267"/>
      <c r="I15" s="268">
        <f>E15+G15</f>
        <v>0</v>
      </c>
    </row>
    <row r="16" spans="2:30">
      <c r="B16" s="266">
        <f>EOMONTH(B15,1)</f>
        <v>43190</v>
      </c>
      <c r="C16" s="266">
        <f t="shared" si="1"/>
        <v>43220</v>
      </c>
      <c r="D16" s="270"/>
      <c r="E16" s="268"/>
      <c r="F16" s="270"/>
      <c r="G16" s="267">
        <f t="shared" ref="G16:G79" si="2">(B16-B15)*$E$8*F16/360</f>
        <v>0</v>
      </c>
      <c r="H16" s="267"/>
      <c r="I16" s="268">
        <f>E16+G16</f>
        <v>0</v>
      </c>
    </row>
    <row r="17" spans="1:12">
      <c r="B17" s="266">
        <f t="shared" ref="B17:B80" si="3">EOMONTH(B16,1)</f>
        <v>43220</v>
      </c>
      <c r="C17" s="266">
        <f t="shared" si="1"/>
        <v>43251</v>
      </c>
      <c r="D17" s="266"/>
      <c r="E17" s="268"/>
      <c r="F17" s="270"/>
      <c r="G17" s="267">
        <f t="shared" si="2"/>
        <v>0</v>
      </c>
      <c r="H17" s="267"/>
      <c r="I17" s="270">
        <f t="shared" ref="I17:I80" si="4">E17+G17</f>
        <v>0</v>
      </c>
    </row>
    <row r="18" spans="1:12">
      <c r="B18" s="266">
        <f t="shared" si="3"/>
        <v>43251</v>
      </c>
      <c r="C18" s="266">
        <f t="shared" si="1"/>
        <v>43281</v>
      </c>
      <c r="D18" s="270"/>
      <c r="E18" s="268"/>
      <c r="F18" s="270"/>
      <c r="G18" s="267">
        <f t="shared" si="2"/>
        <v>0</v>
      </c>
      <c r="H18" s="267"/>
      <c r="I18" s="270">
        <f t="shared" si="4"/>
        <v>0</v>
      </c>
    </row>
    <row r="19" spans="1:12">
      <c r="B19" s="266">
        <f t="shared" si="3"/>
        <v>43281</v>
      </c>
      <c r="C19" s="266">
        <f t="shared" si="1"/>
        <v>43312</v>
      </c>
      <c r="D19" s="270"/>
      <c r="E19" s="268"/>
      <c r="F19" s="270"/>
      <c r="G19" s="267">
        <f t="shared" si="2"/>
        <v>0</v>
      </c>
      <c r="H19" s="267"/>
      <c r="I19" s="270">
        <f t="shared" si="4"/>
        <v>0</v>
      </c>
    </row>
    <row r="20" spans="1:12">
      <c r="B20" s="266">
        <f t="shared" si="3"/>
        <v>43312</v>
      </c>
      <c r="C20" s="266">
        <f t="shared" si="1"/>
        <v>43343</v>
      </c>
      <c r="D20" s="270"/>
      <c r="E20" s="268"/>
      <c r="F20" s="270"/>
      <c r="G20" s="267">
        <f t="shared" si="2"/>
        <v>0</v>
      </c>
      <c r="H20" s="267"/>
      <c r="I20" s="270">
        <f t="shared" si="4"/>
        <v>0</v>
      </c>
    </row>
    <row r="21" spans="1:12">
      <c r="B21" s="266">
        <f t="shared" si="3"/>
        <v>43343</v>
      </c>
      <c r="C21" s="266">
        <f t="shared" si="1"/>
        <v>43373</v>
      </c>
      <c r="D21" s="270"/>
      <c r="E21" s="268">
        <f t="shared" ref="E21:E84" si="5">E20</f>
        <v>0</v>
      </c>
      <c r="F21" s="270">
        <v>0</v>
      </c>
      <c r="G21" s="267">
        <f t="shared" si="2"/>
        <v>0</v>
      </c>
      <c r="H21" s="267"/>
      <c r="I21" s="270">
        <f t="shared" si="4"/>
        <v>0</v>
      </c>
    </row>
    <row r="22" spans="1:12">
      <c r="B22" s="266">
        <f t="shared" si="3"/>
        <v>43373</v>
      </c>
      <c r="C22" s="266">
        <f t="shared" si="1"/>
        <v>43404</v>
      </c>
      <c r="D22" s="267"/>
      <c r="E22" s="268">
        <f>E21</f>
        <v>0</v>
      </c>
      <c r="F22" s="270">
        <f>F21-E21</f>
        <v>0</v>
      </c>
      <c r="G22" s="267">
        <f t="shared" si="2"/>
        <v>0</v>
      </c>
      <c r="H22" s="267"/>
      <c r="I22" s="270">
        <f t="shared" si="4"/>
        <v>0</v>
      </c>
    </row>
    <row r="23" spans="1:12" s="271" customFormat="1">
      <c r="A23" s="271">
        <v>1</v>
      </c>
      <c r="B23" s="272">
        <f t="shared" si="3"/>
        <v>43404</v>
      </c>
      <c r="C23" s="272">
        <f t="shared" si="1"/>
        <v>43434</v>
      </c>
      <c r="D23" s="273">
        <f>E4</f>
        <v>10181818.24</v>
      </c>
      <c r="E23" s="274">
        <f t="shared" si="5"/>
        <v>0</v>
      </c>
      <c r="F23" s="275">
        <f>D23</f>
        <v>10181818.24</v>
      </c>
      <c r="G23" s="273">
        <f t="shared" si="2"/>
        <v>58392.727606399989</v>
      </c>
      <c r="H23" s="273"/>
      <c r="I23" s="275">
        <f t="shared" si="4"/>
        <v>58392.727606399989</v>
      </c>
    </row>
    <row r="24" spans="1:12" s="271" customFormat="1">
      <c r="A24" s="271">
        <f t="shared" ref="A24:A87" si="6">A23+1</f>
        <v>2</v>
      </c>
      <c r="B24" s="272">
        <f t="shared" si="3"/>
        <v>43434</v>
      </c>
      <c r="C24" s="272">
        <f t="shared" si="1"/>
        <v>43465</v>
      </c>
      <c r="D24" s="275"/>
      <c r="E24" s="274"/>
      <c r="F24" s="275">
        <f>F23-E24</f>
        <v>10181818.24</v>
      </c>
      <c r="G24" s="273">
        <f t="shared" si="2"/>
        <v>56509.091231999992</v>
      </c>
      <c r="H24" s="273"/>
      <c r="I24" s="275">
        <f t="shared" si="4"/>
        <v>56509.091231999992</v>
      </c>
    </row>
    <row r="25" spans="1:12" s="281" customFormat="1">
      <c r="A25" s="281">
        <f t="shared" si="6"/>
        <v>3</v>
      </c>
      <c r="B25" s="282">
        <f t="shared" si="3"/>
        <v>43465</v>
      </c>
      <c r="C25" s="282" t="e">
        <f>#REF!</f>
        <v>#REF!</v>
      </c>
      <c r="D25" s="282"/>
      <c r="E25" s="283"/>
      <c r="F25" s="284">
        <f>F24-E25</f>
        <v>10181818.24</v>
      </c>
      <c r="G25" s="285">
        <f t="shared" si="2"/>
        <v>58392.727606399989</v>
      </c>
      <c r="H25" s="285"/>
      <c r="I25" s="284">
        <f t="shared" si="4"/>
        <v>58392.727606399989</v>
      </c>
      <c r="L25" s="286">
        <f>SUM(G23:G25)</f>
        <v>173294.54644479998</v>
      </c>
    </row>
    <row r="26" spans="1:12" s="271" customFormat="1">
      <c r="A26" s="271">
        <f t="shared" si="6"/>
        <v>4</v>
      </c>
      <c r="B26" s="272">
        <f t="shared" si="3"/>
        <v>43496</v>
      </c>
      <c r="C26" s="272">
        <f>B27</f>
        <v>43524</v>
      </c>
      <c r="D26" s="273"/>
      <c r="E26" s="274">
        <f>E4/141</f>
        <v>72211.476879432623</v>
      </c>
      <c r="F26" s="275">
        <f>F25</f>
        <v>10181818.24</v>
      </c>
      <c r="G26" s="273">
        <f>(B26-B25)*$E$8*F26/360</f>
        <v>58392.727606399989</v>
      </c>
      <c r="H26" s="273"/>
      <c r="I26" s="275">
        <f t="shared" si="4"/>
        <v>130604.20448583261</v>
      </c>
    </row>
    <row r="27" spans="1:12" s="271" customFormat="1">
      <c r="A27" s="271">
        <f t="shared" si="6"/>
        <v>5</v>
      </c>
      <c r="B27" s="272">
        <f t="shared" si="3"/>
        <v>43524</v>
      </c>
      <c r="C27" s="272">
        <f>B28</f>
        <v>43555</v>
      </c>
      <c r="D27" s="273"/>
      <c r="E27" s="274">
        <f t="shared" si="5"/>
        <v>72211.476879432623</v>
      </c>
      <c r="F27" s="275">
        <f>F26-E26</f>
        <v>10109606.763120567</v>
      </c>
      <c r="G27" s="273">
        <f>(B27-B26)*$E$8*F27/360</f>
        <v>52367.763032964533</v>
      </c>
      <c r="H27" s="273"/>
      <c r="I27" s="275">
        <f t="shared" si="4"/>
        <v>124579.23991239716</v>
      </c>
    </row>
    <row r="28" spans="1:12" s="271" customFormat="1">
      <c r="A28" s="271">
        <f t="shared" si="6"/>
        <v>6</v>
      </c>
      <c r="B28" s="272">
        <f t="shared" si="3"/>
        <v>43555</v>
      </c>
      <c r="C28" s="272">
        <f>B29</f>
        <v>43585</v>
      </c>
      <c r="D28" s="275"/>
      <c r="E28" s="274">
        <f t="shared" si="5"/>
        <v>72211.476879432623</v>
      </c>
      <c r="F28" s="275">
        <f>F27-E27</f>
        <v>10037395.286241135</v>
      </c>
      <c r="G28" s="273">
        <f t="shared" si="2"/>
        <v>57564.461966592891</v>
      </c>
      <c r="H28" s="273"/>
      <c r="I28" s="275">
        <f t="shared" si="4"/>
        <v>129775.93884602551</v>
      </c>
    </row>
    <row r="29" spans="1:12" s="271" customFormat="1">
      <c r="A29" s="271">
        <f t="shared" si="6"/>
        <v>7</v>
      </c>
      <c r="B29" s="272">
        <f t="shared" si="3"/>
        <v>43585</v>
      </c>
      <c r="C29" s="272">
        <f t="shared" ref="C29:C92" si="7">B30</f>
        <v>43616</v>
      </c>
      <c r="D29" s="272"/>
      <c r="E29" s="274">
        <f t="shared" si="5"/>
        <v>72211.476879432623</v>
      </c>
      <c r="F29" s="275">
        <f t="shared" ref="F29:F91" si="8">F28-E28</f>
        <v>9965183.8093617018</v>
      </c>
      <c r="G29" s="273">
        <f t="shared" si="2"/>
        <v>55306.770141957444</v>
      </c>
      <c r="H29" s="273"/>
      <c r="I29" s="275">
        <f t="shared" si="4"/>
        <v>127518.24702139007</v>
      </c>
    </row>
    <row r="30" spans="1:12" s="271" customFormat="1">
      <c r="A30" s="271">
        <f t="shared" si="6"/>
        <v>8</v>
      </c>
      <c r="B30" s="272">
        <f t="shared" si="3"/>
        <v>43616</v>
      </c>
      <c r="C30" s="272">
        <f t="shared" si="7"/>
        <v>43646</v>
      </c>
      <c r="D30" s="272"/>
      <c r="E30" s="274">
        <f t="shared" si="5"/>
        <v>72211.476879432623</v>
      </c>
      <c r="F30" s="274">
        <f t="shared" si="8"/>
        <v>9892972.332482269</v>
      </c>
      <c r="G30" s="273">
        <f t="shared" si="2"/>
        <v>56736.196326785801</v>
      </c>
      <c r="H30" s="273"/>
      <c r="I30" s="275">
        <f t="shared" si="4"/>
        <v>128947.67320621843</v>
      </c>
    </row>
    <row r="31" spans="1:12" s="271" customFormat="1">
      <c r="A31" s="271">
        <f t="shared" si="6"/>
        <v>9</v>
      </c>
      <c r="B31" s="272">
        <f t="shared" si="3"/>
        <v>43646</v>
      </c>
      <c r="C31" s="272">
        <f t="shared" si="7"/>
        <v>43677</v>
      </c>
      <c r="D31" s="272"/>
      <c r="E31" s="274">
        <f t="shared" si="5"/>
        <v>72211.476879432623</v>
      </c>
      <c r="F31" s="274">
        <f t="shared" si="8"/>
        <v>9820760.8556028362</v>
      </c>
      <c r="G31" s="273">
        <f t="shared" si="2"/>
        <v>54505.222748595734</v>
      </c>
      <c r="H31" s="273"/>
      <c r="I31" s="275">
        <f t="shared" si="4"/>
        <v>126716.69962802835</v>
      </c>
    </row>
    <row r="32" spans="1:12" s="271" customFormat="1">
      <c r="A32" s="271">
        <f t="shared" si="6"/>
        <v>10</v>
      </c>
      <c r="B32" s="272">
        <f t="shared" si="3"/>
        <v>43677</v>
      </c>
      <c r="C32" s="272">
        <f t="shared" si="7"/>
        <v>43708</v>
      </c>
      <c r="D32" s="272"/>
      <c r="E32" s="274">
        <f t="shared" si="5"/>
        <v>72211.476879432623</v>
      </c>
      <c r="F32" s="274">
        <f t="shared" si="8"/>
        <v>9748549.3787234034</v>
      </c>
      <c r="G32" s="273">
        <f t="shared" si="2"/>
        <v>55907.930686978703</v>
      </c>
      <c r="H32" s="273"/>
      <c r="I32" s="275">
        <f t="shared" si="4"/>
        <v>128119.40756641133</v>
      </c>
    </row>
    <row r="33" spans="1:12" s="271" customFormat="1">
      <c r="A33" s="271">
        <f t="shared" si="6"/>
        <v>11</v>
      </c>
      <c r="B33" s="272">
        <f t="shared" si="3"/>
        <v>43708</v>
      </c>
      <c r="C33" s="272">
        <f t="shared" si="7"/>
        <v>43738</v>
      </c>
      <c r="D33" s="272"/>
      <c r="E33" s="274">
        <f t="shared" si="5"/>
        <v>72211.476879432623</v>
      </c>
      <c r="F33" s="274">
        <f t="shared" si="8"/>
        <v>9676337.9018439706</v>
      </c>
      <c r="G33" s="273">
        <f t="shared" si="2"/>
        <v>55493.797867075154</v>
      </c>
      <c r="H33" s="273"/>
      <c r="I33" s="275">
        <f t="shared" si="4"/>
        <v>127705.27474650778</v>
      </c>
    </row>
    <row r="34" spans="1:12" s="271" customFormat="1">
      <c r="A34" s="271">
        <f t="shared" si="6"/>
        <v>12</v>
      </c>
      <c r="B34" s="272">
        <f t="shared" si="3"/>
        <v>43738</v>
      </c>
      <c r="C34" s="272">
        <f t="shared" si="7"/>
        <v>43769</v>
      </c>
      <c r="D34" s="272"/>
      <c r="E34" s="274">
        <f t="shared" si="5"/>
        <v>72211.476879432623</v>
      </c>
      <c r="F34" s="274">
        <f t="shared" si="8"/>
        <v>9604126.4249645378</v>
      </c>
      <c r="G34" s="273">
        <f t="shared" si="2"/>
        <v>53302.901658553172</v>
      </c>
      <c r="H34" s="273"/>
      <c r="I34" s="275">
        <f t="shared" si="4"/>
        <v>125514.37853798579</v>
      </c>
    </row>
    <row r="35" spans="1:12" s="271" customFormat="1">
      <c r="A35" s="271">
        <f t="shared" si="6"/>
        <v>13</v>
      </c>
      <c r="B35" s="272">
        <f t="shared" si="3"/>
        <v>43769</v>
      </c>
      <c r="C35" s="272">
        <f t="shared" si="7"/>
        <v>43799</v>
      </c>
      <c r="D35" s="272"/>
      <c r="E35" s="274">
        <f t="shared" si="5"/>
        <v>72211.476879432623</v>
      </c>
      <c r="F35" s="274">
        <f t="shared" si="8"/>
        <v>9531914.948085105</v>
      </c>
      <c r="G35" s="273">
        <f t="shared" si="2"/>
        <v>54665.532227268071</v>
      </c>
      <c r="H35" s="273"/>
      <c r="I35" s="275">
        <f t="shared" si="4"/>
        <v>126877.00910670069</v>
      </c>
    </row>
    <row r="36" spans="1:12" s="271" customFormat="1">
      <c r="A36" s="271">
        <f t="shared" si="6"/>
        <v>14</v>
      </c>
      <c r="B36" s="272">
        <f t="shared" si="3"/>
        <v>43799</v>
      </c>
      <c r="C36" s="272">
        <f t="shared" si="7"/>
        <v>43830</v>
      </c>
      <c r="D36" s="272"/>
      <c r="E36" s="274">
        <f t="shared" si="5"/>
        <v>72211.476879432623</v>
      </c>
      <c r="F36" s="274">
        <f t="shared" si="8"/>
        <v>9459703.4712056722</v>
      </c>
      <c r="G36" s="273">
        <f t="shared" si="2"/>
        <v>52501.354265191476</v>
      </c>
      <c r="H36" s="273"/>
      <c r="I36" s="275">
        <f t="shared" si="4"/>
        <v>124712.8311446241</v>
      </c>
    </row>
    <row r="37" spans="1:12" s="281" customFormat="1">
      <c r="A37" s="281">
        <f t="shared" si="6"/>
        <v>15</v>
      </c>
      <c r="B37" s="282">
        <f t="shared" si="3"/>
        <v>43830</v>
      </c>
      <c r="C37" s="282">
        <f t="shared" si="7"/>
        <v>43861</v>
      </c>
      <c r="D37" s="282"/>
      <c r="E37" s="283">
        <f t="shared" si="5"/>
        <v>72211.476879432623</v>
      </c>
      <c r="F37" s="283">
        <f t="shared" si="8"/>
        <v>9387491.9943262395</v>
      </c>
      <c r="G37" s="285">
        <f t="shared" si="2"/>
        <v>53837.266587460974</v>
      </c>
      <c r="H37" s="285"/>
      <c r="I37" s="284">
        <f t="shared" si="4"/>
        <v>126048.74346689359</v>
      </c>
      <c r="K37" s="286">
        <f>SUM(E26:E37)</f>
        <v>866537.72255319124</v>
      </c>
      <c r="L37" s="286">
        <f>SUM(G26:G37)</f>
        <v>660581.92511582386</v>
      </c>
    </row>
    <row r="38" spans="1:12" s="271" customFormat="1">
      <c r="A38" s="271">
        <f t="shared" si="6"/>
        <v>16</v>
      </c>
      <c r="B38" s="272">
        <f t="shared" si="3"/>
        <v>43861</v>
      </c>
      <c r="C38" s="272">
        <f t="shared" si="7"/>
        <v>43890</v>
      </c>
      <c r="D38" s="272"/>
      <c r="E38" s="274">
        <f t="shared" si="5"/>
        <v>72211.476879432623</v>
      </c>
      <c r="F38" s="274">
        <f t="shared" si="8"/>
        <v>9315280.5174468067</v>
      </c>
      <c r="G38" s="273">
        <f t="shared" si="2"/>
        <v>53423.133767557425</v>
      </c>
      <c r="H38" s="273"/>
      <c r="I38" s="275">
        <f t="shared" si="4"/>
        <v>125634.61064699004</v>
      </c>
    </row>
    <row r="39" spans="1:12" s="271" customFormat="1">
      <c r="A39" s="271">
        <f t="shared" si="6"/>
        <v>17</v>
      </c>
      <c r="B39" s="272">
        <f t="shared" si="3"/>
        <v>43890</v>
      </c>
      <c r="C39" s="272">
        <f t="shared" si="7"/>
        <v>43921</v>
      </c>
      <c r="D39" s="272"/>
      <c r="E39" s="274">
        <f t="shared" si="5"/>
        <v>72211.476879432623</v>
      </c>
      <c r="F39" s="274">
        <f t="shared" si="8"/>
        <v>9243069.0405673739</v>
      </c>
      <c r="G39" s="273">
        <f t="shared" si="2"/>
        <v>49589.065402643952</v>
      </c>
      <c r="H39" s="273"/>
      <c r="I39" s="275">
        <f t="shared" si="4"/>
        <v>121800.54228207658</v>
      </c>
    </row>
    <row r="40" spans="1:12" s="271" customFormat="1">
      <c r="A40" s="271">
        <f t="shared" si="6"/>
        <v>18</v>
      </c>
      <c r="B40" s="272">
        <f t="shared" si="3"/>
        <v>43921</v>
      </c>
      <c r="C40" s="272">
        <f t="shared" si="7"/>
        <v>43951</v>
      </c>
      <c r="D40" s="272"/>
      <c r="E40" s="274">
        <f t="shared" si="5"/>
        <v>72211.476879432623</v>
      </c>
      <c r="F40" s="274">
        <f t="shared" si="8"/>
        <v>9170857.5636879411</v>
      </c>
      <c r="G40" s="273">
        <f t="shared" si="2"/>
        <v>52594.868127750327</v>
      </c>
      <c r="H40" s="273"/>
      <c r="I40" s="275">
        <f t="shared" si="4"/>
        <v>124806.34500718294</v>
      </c>
    </row>
    <row r="41" spans="1:12" s="271" customFormat="1">
      <c r="A41" s="271">
        <f t="shared" si="6"/>
        <v>19</v>
      </c>
      <c r="B41" s="272">
        <f t="shared" si="3"/>
        <v>43951</v>
      </c>
      <c r="C41" s="272">
        <f t="shared" si="7"/>
        <v>43982</v>
      </c>
      <c r="D41" s="272"/>
      <c r="E41" s="274">
        <f t="shared" si="5"/>
        <v>72211.476879432623</v>
      </c>
      <c r="F41" s="274">
        <f t="shared" si="8"/>
        <v>9098646.0868085083</v>
      </c>
      <c r="G41" s="273">
        <f t="shared" si="2"/>
        <v>50497.485781787211</v>
      </c>
      <c r="H41" s="273"/>
      <c r="I41" s="275">
        <f t="shared" si="4"/>
        <v>122708.96266121983</v>
      </c>
    </row>
    <row r="42" spans="1:12" s="271" customFormat="1">
      <c r="A42" s="271">
        <f t="shared" si="6"/>
        <v>20</v>
      </c>
      <c r="B42" s="272">
        <f t="shared" si="3"/>
        <v>43982</v>
      </c>
      <c r="C42" s="272">
        <f t="shared" si="7"/>
        <v>44012</v>
      </c>
      <c r="D42" s="272"/>
      <c r="E42" s="274">
        <f t="shared" si="5"/>
        <v>72211.476879432623</v>
      </c>
      <c r="F42" s="274">
        <f t="shared" si="8"/>
        <v>9026434.6099290755</v>
      </c>
      <c r="G42" s="273">
        <f t="shared" si="2"/>
        <v>51766.602487943237</v>
      </c>
      <c r="H42" s="273"/>
      <c r="I42" s="275">
        <f t="shared" si="4"/>
        <v>123978.07936737586</v>
      </c>
    </row>
    <row r="43" spans="1:12" s="271" customFormat="1">
      <c r="A43" s="271">
        <f t="shared" si="6"/>
        <v>21</v>
      </c>
      <c r="B43" s="272">
        <f t="shared" si="3"/>
        <v>44012</v>
      </c>
      <c r="C43" s="272">
        <f t="shared" si="7"/>
        <v>44043</v>
      </c>
      <c r="D43" s="272"/>
      <c r="E43" s="274">
        <f t="shared" si="5"/>
        <v>72211.476879432623</v>
      </c>
      <c r="F43" s="274">
        <f t="shared" si="8"/>
        <v>8954223.1330496427</v>
      </c>
      <c r="G43" s="273">
        <f t="shared" si="2"/>
        <v>49695.938388425515</v>
      </c>
      <c r="H43" s="273"/>
      <c r="I43" s="275">
        <f t="shared" si="4"/>
        <v>121907.41526785813</v>
      </c>
    </row>
    <row r="44" spans="1:12" s="271" customFormat="1">
      <c r="A44" s="271">
        <f t="shared" si="6"/>
        <v>22</v>
      </c>
      <c r="B44" s="272">
        <f t="shared" si="3"/>
        <v>44043</v>
      </c>
      <c r="C44" s="272">
        <f t="shared" si="7"/>
        <v>44074</v>
      </c>
      <c r="D44" s="272"/>
      <c r="E44" s="274">
        <f t="shared" si="5"/>
        <v>72211.476879432623</v>
      </c>
      <c r="F44" s="274">
        <f t="shared" si="8"/>
        <v>8882011.6561702099</v>
      </c>
      <c r="G44" s="273">
        <f t="shared" si="2"/>
        <v>50938.336848136139</v>
      </c>
      <c r="H44" s="273"/>
      <c r="I44" s="275">
        <f t="shared" si="4"/>
        <v>123149.81372756876</v>
      </c>
    </row>
    <row r="45" spans="1:12" s="271" customFormat="1">
      <c r="A45" s="271">
        <f t="shared" si="6"/>
        <v>23</v>
      </c>
      <c r="B45" s="272">
        <f t="shared" si="3"/>
        <v>44074</v>
      </c>
      <c r="C45" s="272">
        <f t="shared" si="7"/>
        <v>44104</v>
      </c>
      <c r="D45" s="272"/>
      <c r="E45" s="274">
        <f t="shared" si="5"/>
        <v>72211.476879432623</v>
      </c>
      <c r="F45" s="274">
        <f t="shared" si="8"/>
        <v>8809800.1792907771</v>
      </c>
      <c r="G45" s="273">
        <f t="shared" si="2"/>
        <v>50524.204028232591</v>
      </c>
      <c r="H45" s="273"/>
      <c r="I45" s="275">
        <f t="shared" si="4"/>
        <v>122735.68090766521</v>
      </c>
    </row>
    <row r="46" spans="1:12" s="271" customFormat="1">
      <c r="A46" s="271">
        <f t="shared" si="6"/>
        <v>24</v>
      </c>
      <c r="B46" s="272">
        <f t="shared" si="3"/>
        <v>44104</v>
      </c>
      <c r="C46" s="272">
        <f t="shared" si="7"/>
        <v>44135</v>
      </c>
      <c r="D46" s="272"/>
      <c r="E46" s="274">
        <f t="shared" si="5"/>
        <v>72211.476879432623</v>
      </c>
      <c r="F46" s="274">
        <f t="shared" si="8"/>
        <v>8737588.7024113443</v>
      </c>
      <c r="G46" s="273">
        <f t="shared" si="2"/>
        <v>48493.617298382953</v>
      </c>
      <c r="H46" s="273"/>
      <c r="I46" s="275">
        <f t="shared" si="4"/>
        <v>120705.09417781557</v>
      </c>
    </row>
    <row r="47" spans="1:12" s="271" customFormat="1">
      <c r="A47" s="271">
        <f t="shared" si="6"/>
        <v>25</v>
      </c>
      <c r="B47" s="272">
        <f t="shared" si="3"/>
        <v>44135</v>
      </c>
      <c r="C47" s="272">
        <f t="shared" si="7"/>
        <v>44165</v>
      </c>
      <c r="D47" s="272"/>
      <c r="E47" s="274">
        <f t="shared" si="5"/>
        <v>72211.476879432623</v>
      </c>
      <c r="F47" s="274">
        <f t="shared" si="8"/>
        <v>8665377.2255319115</v>
      </c>
      <c r="G47" s="273">
        <f t="shared" si="2"/>
        <v>49695.938388425508</v>
      </c>
      <c r="H47" s="273"/>
      <c r="I47" s="275">
        <f t="shared" si="4"/>
        <v>121907.41526785813</v>
      </c>
    </row>
    <row r="48" spans="1:12" s="271" customFormat="1">
      <c r="A48" s="271">
        <f t="shared" si="6"/>
        <v>26</v>
      </c>
      <c r="B48" s="272">
        <f t="shared" si="3"/>
        <v>44165</v>
      </c>
      <c r="C48" s="272">
        <f t="shared" si="7"/>
        <v>44196</v>
      </c>
      <c r="D48" s="272"/>
      <c r="E48" s="274">
        <f t="shared" si="5"/>
        <v>72211.476879432623</v>
      </c>
      <c r="F48" s="274">
        <f t="shared" si="8"/>
        <v>8593165.7486524787</v>
      </c>
      <c r="G48" s="273">
        <f t="shared" si="2"/>
        <v>47692.06990502125</v>
      </c>
      <c r="H48" s="273"/>
      <c r="I48" s="275">
        <f t="shared" si="4"/>
        <v>119903.54678445388</v>
      </c>
    </row>
    <row r="49" spans="1:12" s="281" customFormat="1">
      <c r="A49" s="281">
        <f t="shared" si="6"/>
        <v>27</v>
      </c>
      <c r="B49" s="282">
        <f t="shared" si="3"/>
        <v>44196</v>
      </c>
      <c r="C49" s="282">
        <f t="shared" si="7"/>
        <v>44227</v>
      </c>
      <c r="D49" s="282"/>
      <c r="E49" s="283">
        <f t="shared" si="5"/>
        <v>72211.476879432623</v>
      </c>
      <c r="F49" s="283">
        <f t="shared" si="8"/>
        <v>8520954.2717730459</v>
      </c>
      <c r="G49" s="285">
        <f t="shared" si="2"/>
        <v>48867.67274861841</v>
      </c>
      <c r="H49" s="285"/>
      <c r="I49" s="284">
        <f t="shared" si="4"/>
        <v>121079.14962805103</v>
      </c>
      <c r="K49" s="286">
        <f>SUM(E38:E49)</f>
        <v>866537.72255319124</v>
      </c>
      <c r="L49" s="286">
        <f>SUM(G38:G49)</f>
        <v>603778.93317292456</v>
      </c>
    </row>
    <row r="50" spans="1:12" s="271" customFormat="1">
      <c r="A50" s="271">
        <f t="shared" si="6"/>
        <v>28</v>
      </c>
      <c r="B50" s="272">
        <f t="shared" si="3"/>
        <v>44227</v>
      </c>
      <c r="C50" s="272">
        <f t="shared" si="7"/>
        <v>44255</v>
      </c>
      <c r="D50" s="272"/>
      <c r="E50" s="274">
        <f t="shared" si="5"/>
        <v>72211.476879432623</v>
      </c>
      <c r="F50" s="274">
        <f t="shared" si="8"/>
        <v>8448742.7948936131</v>
      </c>
      <c r="G50" s="273">
        <f t="shared" si="2"/>
        <v>48453.539928714861</v>
      </c>
      <c r="H50" s="273"/>
      <c r="I50" s="275">
        <f t="shared" si="4"/>
        <v>120665.01680814748</v>
      </c>
    </row>
    <row r="51" spans="1:12" s="271" customFormat="1">
      <c r="A51" s="271">
        <f t="shared" si="6"/>
        <v>29</v>
      </c>
      <c r="B51" s="272">
        <f t="shared" si="3"/>
        <v>44255</v>
      </c>
      <c r="C51" s="272">
        <f t="shared" si="7"/>
        <v>44286</v>
      </c>
      <c r="D51" s="272"/>
      <c r="E51" s="274">
        <f t="shared" si="5"/>
        <v>72211.476879432623</v>
      </c>
      <c r="F51" s="274">
        <f t="shared" si="8"/>
        <v>8376531.3180141803</v>
      </c>
      <c r="G51" s="273">
        <f t="shared" si="2"/>
        <v>43390.432227313453</v>
      </c>
      <c r="H51" s="273"/>
      <c r="I51" s="275">
        <f t="shared" si="4"/>
        <v>115601.90910674608</v>
      </c>
    </row>
    <row r="52" spans="1:12" s="271" customFormat="1">
      <c r="A52" s="271">
        <f t="shared" si="6"/>
        <v>30</v>
      </c>
      <c r="B52" s="272">
        <f t="shared" si="3"/>
        <v>44286</v>
      </c>
      <c r="C52" s="272">
        <f t="shared" si="7"/>
        <v>44316</v>
      </c>
      <c r="D52" s="272"/>
      <c r="E52" s="274">
        <f t="shared" si="5"/>
        <v>72211.476879432623</v>
      </c>
      <c r="F52" s="274">
        <f t="shared" si="8"/>
        <v>8304319.8411347475</v>
      </c>
      <c r="G52" s="273">
        <f t="shared" si="2"/>
        <v>47625.274288907771</v>
      </c>
      <c r="H52" s="273"/>
      <c r="I52" s="275">
        <f t="shared" si="4"/>
        <v>119836.75116834039</v>
      </c>
    </row>
    <row r="53" spans="1:12" s="271" customFormat="1">
      <c r="A53" s="271">
        <f t="shared" si="6"/>
        <v>31</v>
      </c>
      <c r="B53" s="272">
        <f t="shared" si="3"/>
        <v>44316</v>
      </c>
      <c r="C53" s="272">
        <f t="shared" si="7"/>
        <v>44347</v>
      </c>
      <c r="D53" s="272"/>
      <c r="E53" s="274">
        <f t="shared" si="5"/>
        <v>72211.476879432623</v>
      </c>
      <c r="F53" s="274">
        <f>F52-E52</f>
        <v>8232108.3642553147</v>
      </c>
      <c r="G53" s="273">
        <f t="shared" si="2"/>
        <v>45688.201421616992</v>
      </c>
      <c r="H53" s="273"/>
      <c r="I53" s="275">
        <f t="shared" si="4"/>
        <v>117899.67830104961</v>
      </c>
    </row>
    <row r="54" spans="1:12" s="271" customFormat="1">
      <c r="A54" s="271">
        <f t="shared" si="6"/>
        <v>32</v>
      </c>
      <c r="B54" s="272">
        <f t="shared" si="3"/>
        <v>44347</v>
      </c>
      <c r="C54" s="272">
        <f t="shared" si="7"/>
        <v>44377</v>
      </c>
      <c r="D54" s="272"/>
      <c r="E54" s="274">
        <f t="shared" si="5"/>
        <v>72211.476879432623</v>
      </c>
      <c r="F54" s="274">
        <f t="shared" si="8"/>
        <v>8159896.8873758819</v>
      </c>
      <c r="G54" s="273">
        <f t="shared" si="2"/>
        <v>46797.008649100673</v>
      </c>
      <c r="H54" s="273"/>
      <c r="I54" s="275">
        <f t="shared" si="4"/>
        <v>119008.48552853329</v>
      </c>
    </row>
    <row r="55" spans="1:12" s="271" customFormat="1">
      <c r="A55" s="271">
        <f t="shared" si="6"/>
        <v>33</v>
      </c>
      <c r="B55" s="272">
        <f t="shared" si="3"/>
        <v>44377</v>
      </c>
      <c r="C55" s="272">
        <f t="shared" si="7"/>
        <v>44408</v>
      </c>
      <c r="D55" s="272"/>
      <c r="E55" s="274">
        <f t="shared" si="5"/>
        <v>72211.476879432623</v>
      </c>
      <c r="F55" s="274">
        <f t="shared" si="8"/>
        <v>8087685.4104964491</v>
      </c>
      <c r="G55" s="273">
        <f t="shared" si="2"/>
        <v>44886.654028255289</v>
      </c>
      <c r="H55" s="273"/>
      <c r="I55" s="275">
        <f t="shared" si="4"/>
        <v>117098.13090768791</v>
      </c>
    </row>
    <row r="56" spans="1:12" s="271" customFormat="1">
      <c r="A56" s="271">
        <f t="shared" si="6"/>
        <v>34</v>
      </c>
      <c r="B56" s="272">
        <f t="shared" si="3"/>
        <v>44408</v>
      </c>
      <c r="C56" s="272">
        <f t="shared" si="7"/>
        <v>44439</v>
      </c>
      <c r="D56" s="272"/>
      <c r="E56" s="274">
        <f t="shared" si="5"/>
        <v>72211.476879432623</v>
      </c>
      <c r="F56" s="274">
        <f t="shared" si="8"/>
        <v>8015473.9336170163</v>
      </c>
      <c r="G56" s="273">
        <f t="shared" si="2"/>
        <v>45968.743009293576</v>
      </c>
      <c r="H56" s="273"/>
      <c r="I56" s="275">
        <f t="shared" si="4"/>
        <v>118180.21988872619</v>
      </c>
    </row>
    <row r="57" spans="1:12" s="271" customFormat="1">
      <c r="A57" s="271">
        <f t="shared" si="6"/>
        <v>35</v>
      </c>
      <c r="B57" s="272">
        <f t="shared" si="3"/>
        <v>44439</v>
      </c>
      <c r="C57" s="272">
        <f t="shared" si="7"/>
        <v>44469</v>
      </c>
      <c r="D57" s="272"/>
      <c r="E57" s="274">
        <f t="shared" si="5"/>
        <v>72211.476879432623</v>
      </c>
      <c r="F57" s="274">
        <f t="shared" si="8"/>
        <v>7943262.4567375835</v>
      </c>
      <c r="G57" s="273">
        <f t="shared" si="2"/>
        <v>45554.610189390034</v>
      </c>
      <c r="H57" s="273"/>
      <c r="I57" s="275">
        <f t="shared" si="4"/>
        <v>117766.08706882266</v>
      </c>
    </row>
    <row r="58" spans="1:12" s="271" customFormat="1">
      <c r="A58" s="271">
        <f t="shared" si="6"/>
        <v>36</v>
      </c>
      <c r="B58" s="272">
        <f t="shared" si="3"/>
        <v>44469</v>
      </c>
      <c r="C58" s="272">
        <f t="shared" si="7"/>
        <v>44500</v>
      </c>
      <c r="D58" s="272"/>
      <c r="E58" s="274">
        <f t="shared" si="5"/>
        <v>72211.476879432623</v>
      </c>
      <c r="F58" s="274">
        <f t="shared" si="8"/>
        <v>7871050.9798581507</v>
      </c>
      <c r="G58" s="273">
        <f t="shared" si="2"/>
        <v>43684.332938212734</v>
      </c>
      <c r="H58" s="273"/>
      <c r="I58" s="275">
        <f t="shared" si="4"/>
        <v>115895.80981764535</v>
      </c>
    </row>
    <row r="59" spans="1:12" s="271" customFormat="1">
      <c r="A59" s="271">
        <f t="shared" si="6"/>
        <v>37</v>
      </c>
      <c r="B59" s="272">
        <f t="shared" si="3"/>
        <v>44500</v>
      </c>
      <c r="C59" s="272">
        <f t="shared" si="7"/>
        <v>44530</v>
      </c>
      <c r="D59" s="272"/>
      <c r="E59" s="274">
        <f t="shared" si="5"/>
        <v>72211.476879432623</v>
      </c>
      <c r="F59" s="274">
        <f t="shared" si="8"/>
        <v>7798839.5029787179</v>
      </c>
      <c r="G59" s="273">
        <f t="shared" si="2"/>
        <v>44726.344549582936</v>
      </c>
      <c r="H59" s="273"/>
      <c r="I59" s="275">
        <f t="shared" si="4"/>
        <v>116937.82142901556</v>
      </c>
    </row>
    <row r="60" spans="1:12" s="271" customFormat="1">
      <c r="A60" s="271">
        <f t="shared" si="6"/>
        <v>38</v>
      </c>
      <c r="B60" s="272">
        <f t="shared" si="3"/>
        <v>44530</v>
      </c>
      <c r="C60" s="272">
        <f t="shared" si="7"/>
        <v>44561</v>
      </c>
      <c r="D60" s="272"/>
      <c r="E60" s="274">
        <f t="shared" si="5"/>
        <v>72211.476879432623</v>
      </c>
      <c r="F60" s="274">
        <f t="shared" si="8"/>
        <v>7726628.0260992851</v>
      </c>
      <c r="G60" s="273">
        <f t="shared" si="2"/>
        <v>42882.785544851031</v>
      </c>
      <c r="H60" s="273"/>
      <c r="I60" s="275">
        <f t="shared" si="4"/>
        <v>115094.26242428366</v>
      </c>
    </row>
    <row r="61" spans="1:12" s="281" customFormat="1">
      <c r="A61" s="281">
        <f t="shared" si="6"/>
        <v>39</v>
      </c>
      <c r="B61" s="282">
        <f t="shared" si="3"/>
        <v>44561</v>
      </c>
      <c r="C61" s="282">
        <f t="shared" si="7"/>
        <v>44592</v>
      </c>
      <c r="D61" s="282"/>
      <c r="E61" s="283">
        <f t="shared" si="5"/>
        <v>72211.476879432623</v>
      </c>
      <c r="F61" s="283">
        <f t="shared" si="8"/>
        <v>7654416.5492198523</v>
      </c>
      <c r="G61" s="285">
        <f t="shared" si="2"/>
        <v>43898.078909775839</v>
      </c>
      <c r="H61" s="285"/>
      <c r="I61" s="284">
        <f t="shared" si="4"/>
        <v>116109.55578920846</v>
      </c>
      <c r="K61" s="286">
        <f>SUM(E50:E61)</f>
        <v>866537.72255319124</v>
      </c>
      <c r="L61" s="286">
        <f>SUM(G50:G61)</f>
        <v>543556.00568501512</v>
      </c>
    </row>
    <row r="62" spans="1:12" s="271" customFormat="1">
      <c r="A62" s="271">
        <f t="shared" si="6"/>
        <v>40</v>
      </c>
      <c r="B62" s="272">
        <f t="shared" si="3"/>
        <v>44592</v>
      </c>
      <c r="C62" s="272">
        <f t="shared" si="7"/>
        <v>44620</v>
      </c>
      <c r="D62" s="272"/>
      <c r="E62" s="274">
        <f t="shared" si="5"/>
        <v>72211.476879432623</v>
      </c>
      <c r="F62" s="274">
        <f t="shared" si="8"/>
        <v>7582205.0723404195</v>
      </c>
      <c r="G62" s="273">
        <f t="shared" si="2"/>
        <v>43483.946089872297</v>
      </c>
      <c r="H62" s="273"/>
      <c r="I62" s="275">
        <f t="shared" si="4"/>
        <v>115695.42296930493</v>
      </c>
    </row>
    <row r="63" spans="1:12" s="271" customFormat="1">
      <c r="A63" s="271">
        <f t="shared" si="6"/>
        <v>41</v>
      </c>
      <c r="B63" s="272">
        <f t="shared" si="3"/>
        <v>44620</v>
      </c>
      <c r="C63" s="272">
        <f t="shared" si="7"/>
        <v>44651</v>
      </c>
      <c r="D63" s="272"/>
      <c r="E63" s="274">
        <f t="shared" si="5"/>
        <v>72211.476879432623</v>
      </c>
      <c r="F63" s="274">
        <f t="shared" si="8"/>
        <v>7509993.5954609867</v>
      </c>
      <c r="G63" s="273">
        <f t="shared" si="2"/>
        <v>38901.76682448791</v>
      </c>
      <c r="H63" s="273"/>
      <c r="I63" s="275">
        <f t="shared" si="4"/>
        <v>111113.24370392054</v>
      </c>
    </row>
    <row r="64" spans="1:12" s="271" customFormat="1">
      <c r="A64" s="271">
        <f t="shared" si="6"/>
        <v>42</v>
      </c>
      <c r="B64" s="272">
        <f t="shared" si="3"/>
        <v>44651</v>
      </c>
      <c r="C64" s="272">
        <f t="shared" si="7"/>
        <v>44681</v>
      </c>
      <c r="D64" s="272"/>
      <c r="E64" s="274">
        <f t="shared" si="5"/>
        <v>72211.476879432623</v>
      </c>
      <c r="F64" s="274">
        <f t="shared" si="8"/>
        <v>7437782.1185815539</v>
      </c>
      <c r="G64" s="273">
        <f t="shared" si="2"/>
        <v>42655.6804500652</v>
      </c>
      <c r="H64" s="273"/>
      <c r="I64" s="275">
        <f t="shared" si="4"/>
        <v>114867.15732949783</v>
      </c>
    </row>
    <row r="65" spans="1:12" s="271" customFormat="1">
      <c r="A65" s="271">
        <f t="shared" si="6"/>
        <v>43</v>
      </c>
      <c r="B65" s="272">
        <f t="shared" si="3"/>
        <v>44681</v>
      </c>
      <c r="C65" s="272">
        <f t="shared" si="7"/>
        <v>44712</v>
      </c>
      <c r="D65" s="272"/>
      <c r="E65" s="274">
        <f t="shared" si="5"/>
        <v>72211.476879432623</v>
      </c>
      <c r="F65" s="274">
        <f t="shared" si="8"/>
        <v>7365570.6417021211</v>
      </c>
      <c r="G65" s="273">
        <f t="shared" si="2"/>
        <v>40878.917061446766</v>
      </c>
      <c r="H65" s="273"/>
      <c r="I65" s="275">
        <f t="shared" si="4"/>
        <v>113090.39394087938</v>
      </c>
    </row>
    <row r="66" spans="1:12" s="271" customFormat="1">
      <c r="A66" s="271">
        <f t="shared" si="6"/>
        <v>44</v>
      </c>
      <c r="B66" s="272">
        <f t="shared" si="3"/>
        <v>44712</v>
      </c>
      <c r="C66" s="272">
        <f t="shared" si="7"/>
        <v>44742</v>
      </c>
      <c r="D66" s="272"/>
      <c r="E66" s="274">
        <f t="shared" si="5"/>
        <v>72211.476879432623</v>
      </c>
      <c r="F66" s="274">
        <f t="shared" si="8"/>
        <v>7293359.1648226883</v>
      </c>
      <c r="G66" s="273">
        <f t="shared" si="2"/>
        <v>41827.414810258109</v>
      </c>
      <c r="H66" s="273"/>
      <c r="I66" s="275">
        <f t="shared" si="4"/>
        <v>114038.89168969073</v>
      </c>
    </row>
    <row r="67" spans="1:12" s="271" customFormat="1">
      <c r="A67" s="271">
        <f t="shared" si="6"/>
        <v>45</v>
      </c>
      <c r="B67" s="272">
        <f t="shared" si="3"/>
        <v>44742</v>
      </c>
      <c r="C67" s="272">
        <f t="shared" si="7"/>
        <v>44773</v>
      </c>
      <c r="D67" s="272"/>
      <c r="E67" s="274">
        <f t="shared" si="5"/>
        <v>72211.476879432623</v>
      </c>
      <c r="F67" s="274">
        <f t="shared" si="8"/>
        <v>7221147.6879432555</v>
      </c>
      <c r="G67" s="273">
        <f t="shared" si="2"/>
        <v>40077.369668085063</v>
      </c>
      <c r="H67" s="273"/>
      <c r="I67" s="275">
        <f t="shared" si="4"/>
        <v>112288.84654751769</v>
      </c>
    </row>
    <row r="68" spans="1:12" s="271" customFormat="1">
      <c r="A68" s="271">
        <f t="shared" si="6"/>
        <v>46</v>
      </c>
      <c r="B68" s="272">
        <f t="shared" si="3"/>
        <v>44773</v>
      </c>
      <c r="C68" s="272">
        <f t="shared" si="7"/>
        <v>44804</v>
      </c>
      <c r="D68" s="272"/>
      <c r="E68" s="274">
        <f t="shared" si="5"/>
        <v>72211.476879432623</v>
      </c>
      <c r="F68" s="274">
        <f t="shared" si="8"/>
        <v>7148936.2110638227</v>
      </c>
      <c r="G68" s="273">
        <f t="shared" si="2"/>
        <v>40999.149170451019</v>
      </c>
      <c r="H68" s="273"/>
      <c r="I68" s="275">
        <f t="shared" si="4"/>
        <v>113210.62604988363</v>
      </c>
    </row>
    <row r="69" spans="1:12" s="271" customFormat="1">
      <c r="A69" s="271">
        <f t="shared" si="6"/>
        <v>47</v>
      </c>
      <c r="B69" s="272">
        <f t="shared" si="3"/>
        <v>44804</v>
      </c>
      <c r="C69" s="272">
        <f t="shared" si="7"/>
        <v>44834</v>
      </c>
      <c r="D69" s="272"/>
      <c r="E69" s="274">
        <f t="shared" si="5"/>
        <v>72211.476879432623</v>
      </c>
      <c r="F69" s="274">
        <f t="shared" si="8"/>
        <v>7076724.7341843899</v>
      </c>
      <c r="G69" s="273">
        <f t="shared" si="2"/>
        <v>40585.01635054747</v>
      </c>
      <c r="H69" s="273"/>
      <c r="I69" s="275">
        <f t="shared" si="4"/>
        <v>112796.49322998009</v>
      </c>
    </row>
    <row r="70" spans="1:12" s="271" customFormat="1">
      <c r="A70" s="271">
        <f t="shared" si="6"/>
        <v>48</v>
      </c>
      <c r="B70" s="272">
        <f t="shared" si="3"/>
        <v>44834</v>
      </c>
      <c r="C70" s="272">
        <f t="shared" si="7"/>
        <v>44865</v>
      </c>
      <c r="D70" s="272"/>
      <c r="E70" s="274">
        <f t="shared" si="5"/>
        <v>72211.476879432623</v>
      </c>
      <c r="F70" s="274">
        <f t="shared" si="8"/>
        <v>7004513.2573049571</v>
      </c>
      <c r="G70" s="273">
        <f t="shared" si="2"/>
        <v>38875.048578042508</v>
      </c>
      <c r="H70" s="273"/>
      <c r="I70" s="275">
        <f t="shared" si="4"/>
        <v>111086.52545747513</v>
      </c>
    </row>
    <row r="71" spans="1:12" s="271" customFormat="1">
      <c r="A71" s="271">
        <f t="shared" si="6"/>
        <v>49</v>
      </c>
      <c r="B71" s="272">
        <f t="shared" si="3"/>
        <v>44865</v>
      </c>
      <c r="C71" s="272">
        <f t="shared" si="7"/>
        <v>44895</v>
      </c>
      <c r="D71" s="272"/>
      <c r="E71" s="274">
        <f t="shared" si="5"/>
        <v>72211.476879432623</v>
      </c>
      <c r="F71" s="274">
        <f t="shared" si="8"/>
        <v>6932301.7804255243</v>
      </c>
      <c r="G71" s="273">
        <f t="shared" si="2"/>
        <v>39756.750710740373</v>
      </c>
      <c r="H71" s="273"/>
      <c r="I71" s="275">
        <f t="shared" si="4"/>
        <v>111968.22759017299</v>
      </c>
    </row>
    <row r="72" spans="1:12" s="271" customFormat="1">
      <c r="A72" s="271">
        <f t="shared" si="6"/>
        <v>50</v>
      </c>
      <c r="B72" s="272">
        <f t="shared" si="3"/>
        <v>44895</v>
      </c>
      <c r="C72" s="272">
        <f t="shared" si="7"/>
        <v>44926</v>
      </c>
      <c r="D72" s="272"/>
      <c r="E72" s="274">
        <f t="shared" si="5"/>
        <v>72211.476879432623</v>
      </c>
      <c r="F72" s="274">
        <f t="shared" si="8"/>
        <v>6860090.3035460915</v>
      </c>
      <c r="G72" s="273">
        <f t="shared" si="2"/>
        <v>38073.501184680805</v>
      </c>
      <c r="H72" s="273"/>
      <c r="I72" s="275">
        <f t="shared" si="4"/>
        <v>110284.97806411343</v>
      </c>
    </row>
    <row r="73" spans="1:12" s="281" customFormat="1">
      <c r="A73" s="281">
        <f t="shared" si="6"/>
        <v>51</v>
      </c>
      <c r="B73" s="282">
        <f t="shared" si="3"/>
        <v>44926</v>
      </c>
      <c r="C73" s="282">
        <f t="shared" si="7"/>
        <v>44957</v>
      </c>
      <c r="D73" s="282"/>
      <c r="E73" s="283">
        <f t="shared" si="5"/>
        <v>72211.476879432623</v>
      </c>
      <c r="F73" s="283">
        <f t="shared" si="8"/>
        <v>6787878.8266666587</v>
      </c>
      <c r="G73" s="285">
        <f t="shared" si="2"/>
        <v>38928.485070933275</v>
      </c>
      <c r="H73" s="285"/>
      <c r="I73" s="284">
        <f t="shared" si="4"/>
        <v>111139.96195036589</v>
      </c>
      <c r="K73" s="286">
        <f>SUM(E62:E73)</f>
        <v>866537.72255319124</v>
      </c>
      <c r="L73" s="286">
        <f>SUM(G62:G73)</f>
        <v>485043.04596961086</v>
      </c>
    </row>
    <row r="74" spans="1:12" s="271" customFormat="1">
      <c r="A74" s="271">
        <f t="shared" si="6"/>
        <v>52</v>
      </c>
      <c r="B74" s="272">
        <f t="shared" si="3"/>
        <v>44957</v>
      </c>
      <c r="C74" s="272">
        <f t="shared" si="7"/>
        <v>44985</v>
      </c>
      <c r="D74" s="272"/>
      <c r="E74" s="274">
        <f t="shared" si="5"/>
        <v>72211.476879432623</v>
      </c>
      <c r="F74" s="274">
        <f t="shared" si="8"/>
        <v>6715667.3497872259</v>
      </c>
      <c r="G74" s="273">
        <f t="shared" si="2"/>
        <v>38514.352251029733</v>
      </c>
      <c r="H74" s="273"/>
      <c r="I74" s="275">
        <f t="shared" si="4"/>
        <v>110725.82913046236</v>
      </c>
    </row>
    <row r="75" spans="1:12" s="271" customFormat="1">
      <c r="A75" s="271">
        <f t="shared" si="6"/>
        <v>53</v>
      </c>
      <c r="B75" s="272">
        <f t="shared" si="3"/>
        <v>44985</v>
      </c>
      <c r="C75" s="272">
        <f t="shared" si="7"/>
        <v>45016</v>
      </c>
      <c r="D75" s="272"/>
      <c r="E75" s="274">
        <f t="shared" si="5"/>
        <v>72211.476879432623</v>
      </c>
      <c r="F75" s="274">
        <f t="shared" si="8"/>
        <v>6643455.8729077931</v>
      </c>
      <c r="G75" s="273">
        <f t="shared" si="2"/>
        <v>34413.101421662366</v>
      </c>
      <c r="H75" s="273"/>
      <c r="I75" s="275">
        <f t="shared" si="4"/>
        <v>106624.578301095</v>
      </c>
    </row>
    <row r="76" spans="1:12" s="271" customFormat="1">
      <c r="A76" s="271">
        <f t="shared" si="6"/>
        <v>54</v>
      </c>
      <c r="B76" s="272">
        <f t="shared" si="3"/>
        <v>45016</v>
      </c>
      <c r="C76" s="272">
        <f t="shared" si="7"/>
        <v>45046</v>
      </c>
      <c r="D76" s="272"/>
      <c r="E76" s="274">
        <f t="shared" si="5"/>
        <v>72211.476879432623</v>
      </c>
      <c r="F76" s="274">
        <f t="shared" si="8"/>
        <v>6571244.3960283604</v>
      </c>
      <c r="G76" s="273">
        <f t="shared" si="2"/>
        <v>37686.086611222636</v>
      </c>
      <c r="H76" s="273"/>
      <c r="I76" s="275">
        <f t="shared" si="4"/>
        <v>109897.56349065526</v>
      </c>
    </row>
    <row r="77" spans="1:12" s="271" customFormat="1">
      <c r="A77" s="271">
        <f t="shared" si="6"/>
        <v>55</v>
      </c>
      <c r="B77" s="272">
        <f t="shared" si="3"/>
        <v>45046</v>
      </c>
      <c r="C77" s="272">
        <f t="shared" si="7"/>
        <v>45077</v>
      </c>
      <c r="D77" s="272"/>
      <c r="E77" s="274">
        <f t="shared" si="5"/>
        <v>72211.476879432623</v>
      </c>
      <c r="F77" s="274">
        <f t="shared" si="8"/>
        <v>6499032.9191489276</v>
      </c>
      <c r="G77" s="273">
        <f t="shared" si="2"/>
        <v>36069.63270127654</v>
      </c>
      <c r="H77" s="273"/>
      <c r="I77" s="275">
        <f t="shared" si="4"/>
        <v>108281.10958070916</v>
      </c>
    </row>
    <row r="78" spans="1:12" s="271" customFormat="1">
      <c r="A78" s="271">
        <f t="shared" si="6"/>
        <v>56</v>
      </c>
      <c r="B78" s="272">
        <f t="shared" si="3"/>
        <v>45077</v>
      </c>
      <c r="C78" s="272">
        <f t="shared" si="7"/>
        <v>45107</v>
      </c>
      <c r="D78" s="272"/>
      <c r="E78" s="274">
        <f t="shared" si="5"/>
        <v>72211.476879432623</v>
      </c>
      <c r="F78" s="274">
        <f t="shared" si="8"/>
        <v>6426821.4422694948</v>
      </c>
      <c r="G78" s="273">
        <f t="shared" si="2"/>
        <v>36857.820971415546</v>
      </c>
      <c r="H78" s="273"/>
      <c r="I78" s="275">
        <f t="shared" si="4"/>
        <v>109069.29785084818</v>
      </c>
    </row>
    <row r="79" spans="1:12" s="271" customFormat="1">
      <c r="A79" s="271">
        <f t="shared" si="6"/>
        <v>57</v>
      </c>
      <c r="B79" s="272">
        <f t="shared" si="3"/>
        <v>45107</v>
      </c>
      <c r="C79" s="272">
        <f t="shared" si="7"/>
        <v>45138</v>
      </c>
      <c r="D79" s="272"/>
      <c r="E79" s="274">
        <f t="shared" si="5"/>
        <v>72211.476879432623</v>
      </c>
      <c r="F79" s="274">
        <f t="shared" si="8"/>
        <v>6354609.965390062</v>
      </c>
      <c r="G79" s="273">
        <f t="shared" si="2"/>
        <v>35268.085307914844</v>
      </c>
      <c r="H79" s="273"/>
      <c r="I79" s="275">
        <f t="shared" si="4"/>
        <v>107479.56218734747</v>
      </c>
    </row>
    <row r="80" spans="1:12" s="271" customFormat="1">
      <c r="A80" s="271">
        <f t="shared" si="6"/>
        <v>58</v>
      </c>
      <c r="B80" s="272">
        <f t="shared" si="3"/>
        <v>45138</v>
      </c>
      <c r="C80" s="272">
        <f t="shared" si="7"/>
        <v>45169</v>
      </c>
      <c r="D80" s="272"/>
      <c r="E80" s="274">
        <f t="shared" si="5"/>
        <v>72211.476879432623</v>
      </c>
      <c r="F80" s="274">
        <f t="shared" si="8"/>
        <v>6282398.4885106292</v>
      </c>
      <c r="G80" s="273">
        <f t="shared" ref="G80:G143" si="9">(B80-B79)*$E$8*F80/360</f>
        <v>36029.555331608448</v>
      </c>
      <c r="H80" s="273"/>
      <c r="I80" s="275">
        <f t="shared" si="4"/>
        <v>108241.03221104108</v>
      </c>
    </row>
    <row r="81" spans="1:12" s="271" customFormat="1">
      <c r="A81" s="271">
        <f t="shared" si="6"/>
        <v>59</v>
      </c>
      <c r="B81" s="272">
        <f t="shared" ref="B81:B144" si="10">EOMONTH(B80,1)</f>
        <v>45169</v>
      </c>
      <c r="C81" s="272">
        <f t="shared" si="7"/>
        <v>45199</v>
      </c>
      <c r="D81" s="272"/>
      <c r="E81" s="274">
        <f t="shared" si="5"/>
        <v>72211.476879432623</v>
      </c>
      <c r="F81" s="274">
        <f t="shared" si="8"/>
        <v>6210187.0116311964</v>
      </c>
      <c r="G81" s="273">
        <f t="shared" si="9"/>
        <v>35615.422511704899</v>
      </c>
      <c r="H81" s="273"/>
      <c r="I81" s="275">
        <f t="shared" ref="I81:I144" si="11">E81+G81</f>
        <v>107826.89939113753</v>
      </c>
    </row>
    <row r="82" spans="1:12" s="271" customFormat="1">
      <c r="A82" s="271">
        <f t="shared" si="6"/>
        <v>60</v>
      </c>
      <c r="B82" s="272">
        <f t="shared" si="10"/>
        <v>45199</v>
      </c>
      <c r="C82" s="272">
        <f t="shared" si="7"/>
        <v>45230</v>
      </c>
      <c r="D82" s="272"/>
      <c r="E82" s="274">
        <f t="shared" si="5"/>
        <v>72211.476879432623</v>
      </c>
      <c r="F82" s="274">
        <f t="shared" si="8"/>
        <v>6137975.5347517636</v>
      </c>
      <c r="G82" s="273">
        <f t="shared" si="9"/>
        <v>34065.764217872289</v>
      </c>
      <c r="H82" s="273"/>
      <c r="I82" s="275">
        <f t="shared" si="11"/>
        <v>106277.24109730491</v>
      </c>
    </row>
    <row r="83" spans="1:12" s="271" customFormat="1">
      <c r="A83" s="271">
        <f t="shared" si="6"/>
        <v>61</v>
      </c>
      <c r="B83" s="272">
        <f t="shared" si="10"/>
        <v>45230</v>
      </c>
      <c r="C83" s="272">
        <f t="shared" si="7"/>
        <v>45260</v>
      </c>
      <c r="D83" s="272"/>
      <c r="E83" s="274">
        <f t="shared" si="5"/>
        <v>72211.476879432623</v>
      </c>
      <c r="F83" s="274">
        <f t="shared" si="8"/>
        <v>6065764.0578723308</v>
      </c>
      <c r="G83" s="273">
        <f t="shared" si="9"/>
        <v>34787.156871897809</v>
      </c>
      <c r="H83" s="273"/>
      <c r="I83" s="275">
        <f t="shared" si="11"/>
        <v>106998.63375133043</v>
      </c>
    </row>
    <row r="84" spans="1:12" s="271" customFormat="1">
      <c r="A84" s="271">
        <f t="shared" si="6"/>
        <v>62</v>
      </c>
      <c r="B84" s="272">
        <f t="shared" si="10"/>
        <v>45260</v>
      </c>
      <c r="C84" s="272">
        <f t="shared" si="7"/>
        <v>45291</v>
      </c>
      <c r="D84" s="272"/>
      <c r="E84" s="274">
        <f t="shared" si="5"/>
        <v>72211.476879432623</v>
      </c>
      <c r="F84" s="274">
        <f t="shared" si="8"/>
        <v>5993552.580992898</v>
      </c>
      <c r="G84" s="273">
        <f t="shared" si="9"/>
        <v>33264.216824510579</v>
      </c>
      <c r="H84" s="273"/>
      <c r="I84" s="275">
        <f t="shared" si="11"/>
        <v>105475.69370394319</v>
      </c>
    </row>
    <row r="85" spans="1:12" s="281" customFormat="1">
      <c r="A85" s="281">
        <f t="shared" si="6"/>
        <v>63</v>
      </c>
      <c r="B85" s="282">
        <f t="shared" si="10"/>
        <v>45291</v>
      </c>
      <c r="C85" s="282">
        <f t="shared" si="7"/>
        <v>45322</v>
      </c>
      <c r="D85" s="282"/>
      <c r="E85" s="283">
        <f t="shared" ref="E85:E148" si="12">E84</f>
        <v>72211.476879432623</v>
      </c>
      <c r="F85" s="283">
        <f t="shared" si="8"/>
        <v>5921341.1041134652</v>
      </c>
      <c r="G85" s="285">
        <f t="shared" si="9"/>
        <v>33958.891232090718</v>
      </c>
      <c r="H85" s="285"/>
      <c r="I85" s="284">
        <f t="shared" si="11"/>
        <v>106170.36811152333</v>
      </c>
      <c r="K85" s="286">
        <f>SUM(E74:E85)</f>
        <v>866537.72255319124</v>
      </c>
      <c r="L85" s="286">
        <f>SUM(G74:G85)</f>
        <v>426530.08625420643</v>
      </c>
    </row>
    <row r="86" spans="1:12" s="271" customFormat="1">
      <c r="A86" s="271">
        <f t="shared" si="6"/>
        <v>64</v>
      </c>
      <c r="B86" s="272">
        <f t="shared" si="10"/>
        <v>45322</v>
      </c>
      <c r="C86" s="272">
        <f t="shared" si="7"/>
        <v>45351</v>
      </c>
      <c r="D86" s="272"/>
      <c r="E86" s="274">
        <f t="shared" si="12"/>
        <v>72211.476879432623</v>
      </c>
      <c r="F86" s="274">
        <f t="shared" si="8"/>
        <v>5849129.6272340324</v>
      </c>
      <c r="G86" s="273">
        <f t="shared" si="9"/>
        <v>33544.75841218717</v>
      </c>
      <c r="H86" s="273"/>
      <c r="I86" s="275">
        <f t="shared" si="11"/>
        <v>105756.23529161979</v>
      </c>
    </row>
    <row r="87" spans="1:12" s="271" customFormat="1">
      <c r="A87" s="271">
        <f t="shared" si="6"/>
        <v>65</v>
      </c>
      <c r="B87" s="272">
        <f t="shared" si="10"/>
        <v>45351</v>
      </c>
      <c r="C87" s="272">
        <f t="shared" si="7"/>
        <v>45382</v>
      </c>
      <c r="D87" s="272"/>
      <c r="E87" s="274">
        <f t="shared" si="12"/>
        <v>72211.476879432623</v>
      </c>
      <c r="F87" s="274">
        <f t="shared" si="8"/>
        <v>5776918.1503545996</v>
      </c>
      <c r="G87" s="273">
        <f t="shared" si="9"/>
        <v>30993.165876652423</v>
      </c>
      <c r="H87" s="273"/>
      <c r="I87" s="275">
        <f t="shared" si="11"/>
        <v>103204.64275608504</v>
      </c>
    </row>
    <row r="88" spans="1:12" s="271" customFormat="1">
      <c r="A88" s="271">
        <f t="shared" ref="A88:A147" si="13">A87+1</f>
        <v>66</v>
      </c>
      <c r="B88" s="272">
        <f t="shared" si="10"/>
        <v>45382</v>
      </c>
      <c r="C88" s="272">
        <f t="shared" si="7"/>
        <v>45412</v>
      </c>
      <c r="D88" s="272"/>
      <c r="E88" s="274">
        <f t="shared" si="12"/>
        <v>72211.476879432623</v>
      </c>
      <c r="F88" s="274">
        <f t="shared" si="8"/>
        <v>5704706.6734751668</v>
      </c>
      <c r="G88" s="273">
        <f t="shared" si="9"/>
        <v>32716.492772380076</v>
      </c>
      <c r="H88" s="273"/>
      <c r="I88" s="275">
        <f t="shared" si="11"/>
        <v>104927.9696518127</v>
      </c>
    </row>
    <row r="89" spans="1:12" s="271" customFormat="1">
      <c r="A89" s="271">
        <f t="shared" si="13"/>
        <v>67</v>
      </c>
      <c r="B89" s="272">
        <f t="shared" si="10"/>
        <v>45412</v>
      </c>
      <c r="C89" s="272">
        <f t="shared" si="7"/>
        <v>45443</v>
      </c>
      <c r="D89" s="272"/>
      <c r="E89" s="274">
        <f t="shared" si="12"/>
        <v>72211.476879432623</v>
      </c>
      <c r="F89" s="274">
        <f t="shared" si="8"/>
        <v>5632495.196595734</v>
      </c>
      <c r="G89" s="273">
        <f t="shared" si="9"/>
        <v>31260.348341106317</v>
      </c>
      <c r="H89" s="273"/>
      <c r="I89" s="275">
        <f t="shared" si="11"/>
        <v>103471.82522053894</v>
      </c>
    </row>
    <row r="90" spans="1:12" s="271" customFormat="1">
      <c r="A90" s="271">
        <f t="shared" si="13"/>
        <v>68</v>
      </c>
      <c r="B90" s="272">
        <f t="shared" si="10"/>
        <v>45443</v>
      </c>
      <c r="C90" s="272">
        <f t="shared" si="7"/>
        <v>45473</v>
      </c>
      <c r="D90" s="272"/>
      <c r="E90" s="274">
        <f t="shared" si="12"/>
        <v>72211.476879432623</v>
      </c>
      <c r="F90" s="274">
        <f t="shared" si="8"/>
        <v>5560283.7197163012</v>
      </c>
      <c r="G90" s="273">
        <f t="shared" si="9"/>
        <v>31888.227132572978</v>
      </c>
      <c r="H90" s="273"/>
      <c r="I90" s="275">
        <f t="shared" si="11"/>
        <v>104099.7040120056</v>
      </c>
    </row>
    <row r="91" spans="1:12" s="271" customFormat="1">
      <c r="A91" s="271">
        <f t="shared" si="13"/>
        <v>69</v>
      </c>
      <c r="B91" s="272">
        <f t="shared" si="10"/>
        <v>45473</v>
      </c>
      <c r="C91" s="272">
        <f t="shared" si="7"/>
        <v>45504</v>
      </c>
      <c r="D91" s="272"/>
      <c r="E91" s="274">
        <f t="shared" si="12"/>
        <v>72211.476879432623</v>
      </c>
      <c r="F91" s="274">
        <f t="shared" si="8"/>
        <v>5488072.2428368684</v>
      </c>
      <c r="G91" s="273">
        <f t="shared" si="9"/>
        <v>30458.800947744618</v>
      </c>
      <c r="H91" s="273"/>
      <c r="I91" s="275">
        <f t="shared" si="11"/>
        <v>102670.27782717724</v>
      </c>
    </row>
    <row r="92" spans="1:12" s="271" customFormat="1">
      <c r="A92" s="271">
        <f t="shared" si="13"/>
        <v>70</v>
      </c>
      <c r="B92" s="272">
        <f t="shared" si="10"/>
        <v>45504</v>
      </c>
      <c r="C92" s="272">
        <f t="shared" si="7"/>
        <v>45535</v>
      </c>
      <c r="D92" s="272"/>
      <c r="E92" s="274">
        <f t="shared" si="12"/>
        <v>72211.476879432623</v>
      </c>
      <c r="F92" s="274">
        <f t="shared" ref="F92:F155" si="14">F91-E91</f>
        <v>5415860.7659574356</v>
      </c>
      <c r="G92" s="273">
        <f t="shared" si="9"/>
        <v>31059.961492765888</v>
      </c>
      <c r="H92" s="273"/>
      <c r="I92" s="275">
        <f t="shared" si="11"/>
        <v>103271.43837219851</v>
      </c>
    </row>
    <row r="93" spans="1:12" s="271" customFormat="1">
      <c r="A93" s="271">
        <f t="shared" si="13"/>
        <v>71</v>
      </c>
      <c r="B93" s="272">
        <f t="shared" si="10"/>
        <v>45535</v>
      </c>
      <c r="C93" s="272">
        <f t="shared" ref="C93:C156" si="15">B94</f>
        <v>45565</v>
      </c>
      <c r="D93" s="272"/>
      <c r="E93" s="274">
        <f t="shared" si="12"/>
        <v>72211.476879432623</v>
      </c>
      <c r="F93" s="274">
        <f t="shared" si="14"/>
        <v>5343649.2890780028</v>
      </c>
      <c r="G93" s="273">
        <f t="shared" si="9"/>
        <v>30645.828672862339</v>
      </c>
      <c r="H93" s="273"/>
      <c r="I93" s="275">
        <f t="shared" si="11"/>
        <v>102857.30555229496</v>
      </c>
    </row>
    <row r="94" spans="1:12" s="271" customFormat="1">
      <c r="A94" s="271">
        <f t="shared" si="13"/>
        <v>72</v>
      </c>
      <c r="B94" s="272">
        <f t="shared" si="10"/>
        <v>45565</v>
      </c>
      <c r="C94" s="272">
        <f t="shared" si="15"/>
        <v>45596</v>
      </c>
      <c r="D94" s="272"/>
      <c r="E94" s="274">
        <f t="shared" si="12"/>
        <v>72211.476879432623</v>
      </c>
      <c r="F94" s="274">
        <f t="shared" si="14"/>
        <v>5271437.81219857</v>
      </c>
      <c r="G94" s="273">
        <f t="shared" si="9"/>
        <v>29256.479857702063</v>
      </c>
      <c r="H94" s="273"/>
      <c r="I94" s="275">
        <f t="shared" si="11"/>
        <v>101467.95673713469</v>
      </c>
    </row>
    <row r="95" spans="1:12" s="271" customFormat="1">
      <c r="A95" s="271">
        <f t="shared" si="13"/>
        <v>73</v>
      </c>
      <c r="B95" s="272">
        <f t="shared" si="10"/>
        <v>45596</v>
      </c>
      <c r="C95" s="272">
        <f t="shared" si="15"/>
        <v>45626</v>
      </c>
      <c r="D95" s="272"/>
      <c r="E95" s="274">
        <f t="shared" si="12"/>
        <v>72211.476879432623</v>
      </c>
      <c r="F95" s="274">
        <f t="shared" si="14"/>
        <v>5199226.3353191372</v>
      </c>
      <c r="G95" s="273">
        <f t="shared" si="9"/>
        <v>29817.563033055245</v>
      </c>
      <c r="H95" s="273"/>
      <c r="I95" s="275">
        <f t="shared" si="11"/>
        <v>102029.03991248787</v>
      </c>
    </row>
    <row r="96" spans="1:12" s="271" customFormat="1">
      <c r="A96" s="271">
        <f t="shared" si="13"/>
        <v>74</v>
      </c>
      <c r="B96" s="272">
        <f t="shared" si="10"/>
        <v>45626</v>
      </c>
      <c r="C96" s="272">
        <f t="shared" si="15"/>
        <v>45657</v>
      </c>
      <c r="D96" s="272"/>
      <c r="E96" s="274">
        <f t="shared" si="12"/>
        <v>72211.476879432623</v>
      </c>
      <c r="F96" s="274">
        <f t="shared" si="14"/>
        <v>5127014.8584397044</v>
      </c>
      <c r="G96" s="273">
        <f t="shared" si="9"/>
        <v>28454.932464340356</v>
      </c>
      <c r="H96" s="273"/>
      <c r="I96" s="275">
        <f t="shared" si="11"/>
        <v>100666.40934377298</v>
      </c>
    </row>
    <row r="97" spans="1:12" s="281" customFormat="1">
      <c r="A97" s="281">
        <f t="shared" si="13"/>
        <v>75</v>
      </c>
      <c r="B97" s="282">
        <f t="shared" si="10"/>
        <v>45657</v>
      </c>
      <c r="C97" s="282">
        <f t="shared" si="15"/>
        <v>45688</v>
      </c>
      <c r="D97" s="282"/>
      <c r="E97" s="283">
        <f t="shared" si="12"/>
        <v>72211.476879432623</v>
      </c>
      <c r="F97" s="283">
        <f t="shared" si="14"/>
        <v>5054803.3815602716</v>
      </c>
      <c r="G97" s="285">
        <f t="shared" si="9"/>
        <v>28989.297393248151</v>
      </c>
      <c r="H97" s="285"/>
      <c r="I97" s="284">
        <f t="shared" si="11"/>
        <v>101200.77427268078</v>
      </c>
      <c r="K97" s="286">
        <f>SUM(E86:E97)</f>
        <v>866537.72255319124</v>
      </c>
      <c r="L97" s="286">
        <f>SUM(G86:G97)</f>
        <v>369085.8563966176</v>
      </c>
    </row>
    <row r="98" spans="1:12" s="271" customFormat="1">
      <c r="A98" s="271">
        <f t="shared" si="13"/>
        <v>76</v>
      </c>
      <c r="B98" s="272">
        <f t="shared" si="10"/>
        <v>45688</v>
      </c>
      <c r="C98" s="272">
        <f t="shared" si="15"/>
        <v>45716</v>
      </c>
      <c r="D98" s="272"/>
      <c r="E98" s="274">
        <f t="shared" si="12"/>
        <v>72211.476879432623</v>
      </c>
      <c r="F98" s="274">
        <f t="shared" si="14"/>
        <v>4982591.9046808388</v>
      </c>
      <c r="G98" s="273">
        <f t="shared" si="9"/>
        <v>28575.164573344602</v>
      </c>
      <c r="H98" s="273"/>
      <c r="I98" s="275">
        <f t="shared" si="11"/>
        <v>100786.64145277723</v>
      </c>
    </row>
    <row r="99" spans="1:12" s="271" customFormat="1">
      <c r="A99" s="271">
        <f t="shared" si="13"/>
        <v>77</v>
      </c>
      <c r="B99" s="272">
        <f t="shared" si="10"/>
        <v>45716</v>
      </c>
      <c r="C99" s="272">
        <f t="shared" si="15"/>
        <v>45747</v>
      </c>
      <c r="D99" s="272"/>
      <c r="E99" s="274">
        <f t="shared" si="12"/>
        <v>72211.476879432623</v>
      </c>
      <c r="F99" s="274">
        <f t="shared" si="14"/>
        <v>4910380.427801406</v>
      </c>
      <c r="G99" s="273">
        <f t="shared" si="9"/>
        <v>25435.770616011279</v>
      </c>
      <c r="H99" s="273"/>
      <c r="I99" s="275">
        <f t="shared" si="11"/>
        <v>97647.247495443909</v>
      </c>
    </row>
    <row r="100" spans="1:12" s="271" customFormat="1">
      <c r="A100" s="271">
        <f t="shared" si="13"/>
        <v>78</v>
      </c>
      <c r="B100" s="272">
        <f t="shared" si="10"/>
        <v>45747</v>
      </c>
      <c r="C100" s="272">
        <f t="shared" si="15"/>
        <v>45777</v>
      </c>
      <c r="D100" s="272"/>
      <c r="E100" s="274">
        <f t="shared" si="12"/>
        <v>72211.476879432623</v>
      </c>
      <c r="F100" s="274">
        <f t="shared" si="14"/>
        <v>4838168.9509219732</v>
      </c>
      <c r="G100" s="273">
        <f t="shared" si="9"/>
        <v>27746.898933537512</v>
      </c>
      <c r="H100" s="273"/>
      <c r="I100" s="275">
        <f t="shared" si="11"/>
        <v>99958.375812970131</v>
      </c>
    </row>
    <row r="101" spans="1:12" s="271" customFormat="1">
      <c r="A101" s="271">
        <f t="shared" si="13"/>
        <v>79</v>
      </c>
      <c r="B101" s="272">
        <f t="shared" si="10"/>
        <v>45777</v>
      </c>
      <c r="C101" s="272">
        <f t="shared" si="15"/>
        <v>45808</v>
      </c>
      <c r="D101" s="272"/>
      <c r="E101" s="274">
        <f t="shared" si="12"/>
        <v>72211.476879432623</v>
      </c>
      <c r="F101" s="274">
        <f t="shared" si="14"/>
        <v>4765957.4740425404</v>
      </c>
      <c r="G101" s="273">
        <f t="shared" si="9"/>
        <v>26451.063980936098</v>
      </c>
      <c r="H101" s="273"/>
      <c r="I101" s="275">
        <f t="shared" si="11"/>
        <v>98662.540860368725</v>
      </c>
    </row>
    <row r="102" spans="1:12" s="271" customFormat="1">
      <c r="A102" s="271">
        <f t="shared" si="13"/>
        <v>80</v>
      </c>
      <c r="B102" s="272">
        <f t="shared" si="10"/>
        <v>45808</v>
      </c>
      <c r="C102" s="272">
        <f t="shared" si="15"/>
        <v>45838</v>
      </c>
      <c r="D102" s="272"/>
      <c r="E102" s="274">
        <f t="shared" si="12"/>
        <v>72211.476879432623</v>
      </c>
      <c r="F102" s="274">
        <f t="shared" si="14"/>
        <v>4693745.9971631076</v>
      </c>
      <c r="G102" s="273">
        <f t="shared" si="9"/>
        <v>26918.633293730414</v>
      </c>
      <c r="H102" s="273"/>
      <c r="I102" s="275">
        <f t="shared" si="11"/>
        <v>99130.110173163033</v>
      </c>
    </row>
    <row r="103" spans="1:12" s="271" customFormat="1">
      <c r="A103" s="271">
        <f t="shared" si="13"/>
        <v>81</v>
      </c>
      <c r="B103" s="272">
        <f t="shared" si="10"/>
        <v>45838</v>
      </c>
      <c r="C103" s="272">
        <f t="shared" si="15"/>
        <v>45869</v>
      </c>
      <c r="D103" s="272"/>
      <c r="E103" s="274">
        <f t="shared" si="12"/>
        <v>72211.476879432623</v>
      </c>
      <c r="F103" s="274">
        <f t="shared" si="14"/>
        <v>4621534.5202836748</v>
      </c>
      <c r="G103" s="273">
        <f t="shared" si="9"/>
        <v>25649.516587574391</v>
      </c>
      <c r="H103" s="273"/>
      <c r="I103" s="275">
        <f t="shared" si="11"/>
        <v>97860.993467007007</v>
      </c>
    </row>
    <row r="104" spans="1:12" s="271" customFormat="1">
      <c r="A104" s="271">
        <f t="shared" si="13"/>
        <v>82</v>
      </c>
      <c r="B104" s="272">
        <f t="shared" si="10"/>
        <v>45869</v>
      </c>
      <c r="C104" s="272">
        <f t="shared" si="15"/>
        <v>45900</v>
      </c>
      <c r="D104" s="272"/>
      <c r="E104" s="274">
        <f t="shared" si="12"/>
        <v>72211.476879432623</v>
      </c>
      <c r="F104" s="274">
        <f t="shared" si="14"/>
        <v>4549323.043404242</v>
      </c>
      <c r="G104" s="273">
        <f t="shared" si="9"/>
        <v>26090.36765392332</v>
      </c>
      <c r="H104" s="273"/>
      <c r="I104" s="275">
        <f t="shared" si="11"/>
        <v>98301.844533355936</v>
      </c>
    </row>
    <row r="105" spans="1:12" s="271" customFormat="1">
      <c r="A105" s="271">
        <f t="shared" si="13"/>
        <v>83</v>
      </c>
      <c r="B105" s="272">
        <f t="shared" si="10"/>
        <v>45900</v>
      </c>
      <c r="C105" s="272">
        <f t="shared" si="15"/>
        <v>45930</v>
      </c>
      <c r="D105" s="272"/>
      <c r="E105" s="274">
        <f t="shared" si="12"/>
        <v>72211.476879432623</v>
      </c>
      <c r="F105" s="274">
        <f t="shared" si="14"/>
        <v>4477111.5665248092</v>
      </c>
      <c r="G105" s="273">
        <f t="shared" si="9"/>
        <v>25676.234834019779</v>
      </c>
      <c r="H105" s="273"/>
      <c r="I105" s="275">
        <f t="shared" si="11"/>
        <v>97887.711713452401</v>
      </c>
    </row>
    <row r="106" spans="1:12" s="271" customFormat="1">
      <c r="A106" s="271">
        <f t="shared" si="13"/>
        <v>84</v>
      </c>
      <c r="B106" s="272">
        <f t="shared" si="10"/>
        <v>45930</v>
      </c>
      <c r="C106" s="272">
        <f t="shared" si="15"/>
        <v>45961</v>
      </c>
      <c r="D106" s="272"/>
      <c r="E106" s="274">
        <f t="shared" si="12"/>
        <v>72211.476879432623</v>
      </c>
      <c r="F106" s="274">
        <f t="shared" si="14"/>
        <v>4404900.0896453764</v>
      </c>
      <c r="G106" s="273">
        <f t="shared" si="9"/>
        <v>24447.195497531837</v>
      </c>
      <c r="H106" s="273"/>
      <c r="I106" s="275">
        <f t="shared" si="11"/>
        <v>96658.67237696446</v>
      </c>
    </row>
    <row r="107" spans="1:12" s="271" customFormat="1">
      <c r="A107" s="271">
        <f t="shared" si="13"/>
        <v>85</v>
      </c>
      <c r="B107" s="272">
        <f t="shared" si="10"/>
        <v>45961</v>
      </c>
      <c r="C107" s="272">
        <f t="shared" si="15"/>
        <v>45991</v>
      </c>
      <c r="D107" s="272"/>
      <c r="E107" s="274">
        <f t="shared" si="12"/>
        <v>72211.476879432623</v>
      </c>
      <c r="F107" s="274">
        <f t="shared" si="14"/>
        <v>4332688.6127659436</v>
      </c>
      <c r="G107" s="273">
        <f t="shared" si="9"/>
        <v>24847.969194212681</v>
      </c>
      <c r="H107" s="273"/>
      <c r="I107" s="275">
        <f t="shared" si="11"/>
        <v>97059.446073645304</v>
      </c>
    </row>
    <row r="108" spans="1:12" s="271" customFormat="1">
      <c r="A108" s="271">
        <f t="shared" si="13"/>
        <v>86</v>
      </c>
      <c r="B108" s="272">
        <f t="shared" si="10"/>
        <v>45991</v>
      </c>
      <c r="C108" s="272">
        <f t="shared" si="15"/>
        <v>46022</v>
      </c>
      <c r="D108" s="272"/>
      <c r="E108" s="274">
        <f t="shared" si="12"/>
        <v>72211.476879432623</v>
      </c>
      <c r="F108" s="274">
        <f t="shared" si="14"/>
        <v>4260477.1358865108</v>
      </c>
      <c r="G108" s="273">
        <f t="shared" si="9"/>
        <v>23645.64810417013</v>
      </c>
      <c r="H108" s="273"/>
      <c r="I108" s="275">
        <f t="shared" si="11"/>
        <v>95857.124983602756</v>
      </c>
    </row>
    <row r="109" spans="1:12" s="281" customFormat="1">
      <c r="A109" s="281">
        <f t="shared" si="13"/>
        <v>87</v>
      </c>
      <c r="B109" s="282">
        <f t="shared" si="10"/>
        <v>46022</v>
      </c>
      <c r="C109" s="282">
        <f t="shared" si="15"/>
        <v>46053</v>
      </c>
      <c r="D109" s="282"/>
      <c r="E109" s="283">
        <f t="shared" si="12"/>
        <v>72211.476879432623</v>
      </c>
      <c r="F109" s="283">
        <f t="shared" si="14"/>
        <v>4188265.659007078</v>
      </c>
      <c r="G109" s="285">
        <f t="shared" si="9"/>
        <v>24019.703554405587</v>
      </c>
      <c r="H109" s="285"/>
      <c r="I109" s="284">
        <f t="shared" si="11"/>
        <v>96231.180433838206</v>
      </c>
      <c r="K109" s="286">
        <f>SUM(E98:E109)</f>
        <v>866537.72255319124</v>
      </c>
      <c r="L109" s="286">
        <f>SUM(G98:G109)</f>
        <v>309504.16682339762</v>
      </c>
    </row>
    <row r="110" spans="1:12" s="271" customFormat="1">
      <c r="A110" s="271">
        <f t="shared" si="13"/>
        <v>88</v>
      </c>
      <c r="B110" s="272">
        <f t="shared" si="10"/>
        <v>46053</v>
      </c>
      <c r="C110" s="272">
        <f t="shared" si="15"/>
        <v>46081</v>
      </c>
      <c r="D110" s="272"/>
      <c r="E110" s="274">
        <f t="shared" si="12"/>
        <v>72211.476879432623</v>
      </c>
      <c r="F110" s="274">
        <f t="shared" si="14"/>
        <v>4116054.1821276452</v>
      </c>
      <c r="G110" s="273">
        <f t="shared" si="9"/>
        <v>23605.570734502038</v>
      </c>
      <c r="H110" s="273"/>
      <c r="I110" s="275">
        <f t="shared" si="11"/>
        <v>95817.047613934657</v>
      </c>
    </row>
    <row r="111" spans="1:12" s="271" customFormat="1">
      <c r="A111" s="271">
        <f t="shared" si="13"/>
        <v>89</v>
      </c>
      <c r="B111" s="272">
        <f t="shared" si="10"/>
        <v>46081</v>
      </c>
      <c r="C111" s="272">
        <f t="shared" si="15"/>
        <v>46112</v>
      </c>
      <c r="D111" s="272"/>
      <c r="E111" s="274">
        <f t="shared" si="12"/>
        <v>72211.476879432623</v>
      </c>
      <c r="F111" s="274">
        <f t="shared" si="14"/>
        <v>4043842.7052482124</v>
      </c>
      <c r="G111" s="273">
        <f t="shared" si="9"/>
        <v>20947.10521318574</v>
      </c>
      <c r="H111" s="273"/>
      <c r="I111" s="275">
        <f t="shared" si="11"/>
        <v>93158.582092618366</v>
      </c>
    </row>
    <row r="112" spans="1:12" s="271" customFormat="1">
      <c r="A112" s="271">
        <f t="shared" si="13"/>
        <v>90</v>
      </c>
      <c r="B112" s="272">
        <f t="shared" si="10"/>
        <v>46112</v>
      </c>
      <c r="C112" s="272">
        <f t="shared" si="15"/>
        <v>46142</v>
      </c>
      <c r="D112" s="272"/>
      <c r="E112" s="274">
        <f t="shared" si="12"/>
        <v>72211.476879432623</v>
      </c>
      <c r="F112" s="274">
        <f t="shared" si="14"/>
        <v>3971631.2283687796</v>
      </c>
      <c r="G112" s="273">
        <f t="shared" si="9"/>
        <v>22777.305094694948</v>
      </c>
      <c r="H112" s="273"/>
      <c r="I112" s="275">
        <f t="shared" si="11"/>
        <v>94988.781974127574</v>
      </c>
    </row>
    <row r="113" spans="1:12" s="271" customFormat="1">
      <c r="A113" s="271">
        <f t="shared" si="13"/>
        <v>91</v>
      </c>
      <c r="B113" s="272">
        <f t="shared" si="10"/>
        <v>46142</v>
      </c>
      <c r="C113" s="272">
        <f t="shared" si="15"/>
        <v>46173</v>
      </c>
      <c r="D113" s="272"/>
      <c r="E113" s="274">
        <f t="shared" si="12"/>
        <v>72211.476879432623</v>
      </c>
      <c r="F113" s="274">
        <f t="shared" si="14"/>
        <v>3899419.7514893468</v>
      </c>
      <c r="G113" s="273">
        <f t="shared" si="9"/>
        <v>21641.779620765872</v>
      </c>
      <c r="H113" s="273"/>
      <c r="I113" s="275">
        <f t="shared" si="11"/>
        <v>93853.256500198491</v>
      </c>
    </row>
    <row r="114" spans="1:12" s="271" customFormat="1">
      <c r="A114" s="271">
        <f t="shared" si="13"/>
        <v>92</v>
      </c>
      <c r="B114" s="272">
        <f t="shared" si="10"/>
        <v>46173</v>
      </c>
      <c r="C114" s="272">
        <f t="shared" si="15"/>
        <v>46203</v>
      </c>
      <c r="D114" s="272"/>
      <c r="E114" s="274">
        <f t="shared" si="12"/>
        <v>72211.476879432623</v>
      </c>
      <c r="F114" s="274">
        <f t="shared" si="14"/>
        <v>3827208.274609914</v>
      </c>
      <c r="G114" s="273">
        <f t="shared" si="9"/>
        <v>21949.03945488785</v>
      </c>
      <c r="H114" s="273"/>
      <c r="I114" s="275">
        <f t="shared" si="11"/>
        <v>94160.516334320477</v>
      </c>
    </row>
    <row r="115" spans="1:12" s="271" customFormat="1">
      <c r="A115" s="271">
        <f t="shared" si="13"/>
        <v>93</v>
      </c>
      <c r="B115" s="272">
        <f t="shared" si="10"/>
        <v>46203</v>
      </c>
      <c r="C115" s="272">
        <f t="shared" si="15"/>
        <v>46234</v>
      </c>
      <c r="D115" s="272"/>
      <c r="E115" s="274">
        <f t="shared" si="12"/>
        <v>72211.476879432623</v>
      </c>
      <c r="F115" s="274">
        <f t="shared" si="14"/>
        <v>3754996.7977304813</v>
      </c>
      <c r="G115" s="273">
        <f t="shared" si="9"/>
        <v>20840.232227404169</v>
      </c>
      <c r="H115" s="273"/>
      <c r="I115" s="275">
        <f t="shared" si="11"/>
        <v>93051.709106836788</v>
      </c>
    </row>
    <row r="116" spans="1:12" s="271" customFormat="1">
      <c r="A116" s="271">
        <f t="shared" si="13"/>
        <v>94</v>
      </c>
      <c r="B116" s="272">
        <f t="shared" si="10"/>
        <v>46234</v>
      </c>
      <c r="C116" s="272">
        <f t="shared" si="15"/>
        <v>46265</v>
      </c>
      <c r="D116" s="272"/>
      <c r="E116" s="274">
        <f t="shared" si="12"/>
        <v>72211.476879432623</v>
      </c>
      <c r="F116" s="274">
        <f t="shared" si="14"/>
        <v>3682785.3208510485</v>
      </c>
      <c r="G116" s="273">
        <f t="shared" si="9"/>
        <v>21120.77381508076</v>
      </c>
      <c r="H116" s="273"/>
      <c r="I116" s="275">
        <f t="shared" si="11"/>
        <v>93332.250694513379</v>
      </c>
    </row>
    <row r="117" spans="1:12" s="271" customFormat="1">
      <c r="A117" s="271">
        <f t="shared" si="13"/>
        <v>95</v>
      </c>
      <c r="B117" s="272">
        <f t="shared" si="10"/>
        <v>46265</v>
      </c>
      <c r="C117" s="272">
        <f t="shared" si="15"/>
        <v>46295</v>
      </c>
      <c r="D117" s="272"/>
      <c r="E117" s="274">
        <f t="shared" si="12"/>
        <v>72211.476879432623</v>
      </c>
      <c r="F117" s="274">
        <f t="shared" si="14"/>
        <v>3610573.8439716157</v>
      </c>
      <c r="G117" s="273">
        <f t="shared" si="9"/>
        <v>20706.640995177211</v>
      </c>
      <c r="H117" s="273"/>
      <c r="I117" s="275">
        <f t="shared" si="11"/>
        <v>92918.11787460983</v>
      </c>
    </row>
    <row r="118" spans="1:12" s="271" customFormat="1">
      <c r="A118" s="271">
        <f t="shared" si="13"/>
        <v>96</v>
      </c>
      <c r="B118" s="272">
        <f t="shared" si="10"/>
        <v>46295</v>
      </c>
      <c r="C118" s="272">
        <f t="shared" si="15"/>
        <v>46326</v>
      </c>
      <c r="D118" s="272"/>
      <c r="E118" s="274">
        <f t="shared" si="12"/>
        <v>72211.476879432623</v>
      </c>
      <c r="F118" s="274">
        <f t="shared" si="14"/>
        <v>3538362.3670921829</v>
      </c>
      <c r="G118" s="273">
        <f t="shared" si="9"/>
        <v>19637.911137361611</v>
      </c>
      <c r="H118" s="273"/>
      <c r="I118" s="275">
        <f t="shared" si="11"/>
        <v>91849.388016794226</v>
      </c>
    </row>
    <row r="119" spans="1:12" s="271" customFormat="1">
      <c r="A119" s="271">
        <f t="shared" si="13"/>
        <v>97</v>
      </c>
      <c r="B119" s="272">
        <f t="shared" si="10"/>
        <v>46326</v>
      </c>
      <c r="C119" s="272">
        <f t="shared" si="15"/>
        <v>46356</v>
      </c>
      <c r="D119" s="272"/>
      <c r="E119" s="274">
        <f t="shared" si="12"/>
        <v>72211.476879432623</v>
      </c>
      <c r="F119" s="274">
        <f t="shared" si="14"/>
        <v>3466150.8902127501</v>
      </c>
      <c r="G119" s="273">
        <f t="shared" si="9"/>
        <v>19878.375355370117</v>
      </c>
      <c r="H119" s="273"/>
      <c r="I119" s="275">
        <f t="shared" si="11"/>
        <v>92089.852234802733</v>
      </c>
    </row>
    <row r="120" spans="1:12" s="271" customFormat="1">
      <c r="A120" s="271">
        <f t="shared" si="13"/>
        <v>98</v>
      </c>
      <c r="B120" s="272">
        <f t="shared" si="10"/>
        <v>46356</v>
      </c>
      <c r="C120" s="272">
        <f t="shared" si="15"/>
        <v>46387</v>
      </c>
      <c r="D120" s="272"/>
      <c r="E120" s="274">
        <f t="shared" si="12"/>
        <v>72211.476879432623</v>
      </c>
      <c r="F120" s="274">
        <f t="shared" si="14"/>
        <v>3393939.4133333173</v>
      </c>
      <c r="G120" s="273">
        <f t="shared" si="9"/>
        <v>18836.363743999907</v>
      </c>
      <c r="H120" s="273"/>
      <c r="I120" s="275">
        <f t="shared" si="11"/>
        <v>91047.840623432538</v>
      </c>
    </row>
    <row r="121" spans="1:12" s="281" customFormat="1">
      <c r="A121" s="281">
        <f t="shared" si="13"/>
        <v>99</v>
      </c>
      <c r="B121" s="282">
        <f t="shared" si="10"/>
        <v>46387</v>
      </c>
      <c r="C121" s="282">
        <f t="shared" si="15"/>
        <v>46418</v>
      </c>
      <c r="D121" s="282"/>
      <c r="E121" s="283">
        <f t="shared" si="12"/>
        <v>72211.476879432623</v>
      </c>
      <c r="F121" s="283">
        <f t="shared" si="14"/>
        <v>3321727.9364538845</v>
      </c>
      <c r="G121" s="285">
        <f t="shared" si="9"/>
        <v>19050.109715563023</v>
      </c>
      <c r="H121" s="285"/>
      <c r="I121" s="284">
        <f t="shared" si="11"/>
        <v>91261.58659499565</v>
      </c>
      <c r="K121" s="286">
        <f>SUM(E110:E121)</f>
        <v>866537.72255319124</v>
      </c>
      <c r="L121" s="286">
        <f>SUM(G110:G121)</f>
        <v>250991.20710799322</v>
      </c>
    </row>
    <row r="122" spans="1:12" s="271" customFormat="1">
      <c r="A122" s="271">
        <f t="shared" si="13"/>
        <v>100</v>
      </c>
      <c r="B122" s="272">
        <f t="shared" si="10"/>
        <v>46418</v>
      </c>
      <c r="C122" s="272">
        <f t="shared" si="15"/>
        <v>46446</v>
      </c>
      <c r="D122" s="272"/>
      <c r="E122" s="274">
        <f t="shared" si="12"/>
        <v>72211.476879432623</v>
      </c>
      <c r="F122" s="274">
        <f t="shared" si="14"/>
        <v>3249516.4595744517</v>
      </c>
      <c r="G122" s="273">
        <f t="shared" si="9"/>
        <v>18635.976895659478</v>
      </c>
      <c r="H122" s="273"/>
      <c r="I122" s="275">
        <f t="shared" si="11"/>
        <v>90847.453775092101</v>
      </c>
    </row>
    <row r="123" spans="1:12" s="271" customFormat="1">
      <c r="A123" s="271">
        <f t="shared" si="13"/>
        <v>101</v>
      </c>
      <c r="B123" s="272">
        <f t="shared" si="10"/>
        <v>46446</v>
      </c>
      <c r="C123" s="272">
        <f t="shared" si="15"/>
        <v>46477</v>
      </c>
      <c r="D123" s="272"/>
      <c r="E123" s="274">
        <f t="shared" si="12"/>
        <v>72211.476879432623</v>
      </c>
      <c r="F123" s="274">
        <f t="shared" si="14"/>
        <v>3177304.9826950189</v>
      </c>
      <c r="G123" s="273">
        <f t="shared" si="9"/>
        <v>16458.439810360196</v>
      </c>
      <c r="H123" s="273"/>
      <c r="I123" s="275">
        <f t="shared" si="11"/>
        <v>88669.916689792823</v>
      </c>
    </row>
    <row r="124" spans="1:12" s="271" customFormat="1">
      <c r="A124" s="271">
        <f t="shared" si="13"/>
        <v>102</v>
      </c>
      <c r="B124" s="272">
        <f t="shared" si="10"/>
        <v>46477</v>
      </c>
      <c r="C124" s="272">
        <f t="shared" si="15"/>
        <v>46507</v>
      </c>
      <c r="D124" s="272"/>
      <c r="E124" s="274">
        <f t="shared" si="12"/>
        <v>72211.476879432623</v>
      </c>
      <c r="F124" s="274">
        <f t="shared" si="14"/>
        <v>3105093.5058155861</v>
      </c>
      <c r="G124" s="273">
        <f t="shared" si="9"/>
        <v>17807.71125585238</v>
      </c>
      <c r="H124" s="273"/>
      <c r="I124" s="275">
        <f t="shared" si="11"/>
        <v>90019.188135285003</v>
      </c>
    </row>
    <row r="125" spans="1:12" s="271" customFormat="1">
      <c r="A125" s="271">
        <f t="shared" si="13"/>
        <v>103</v>
      </c>
      <c r="B125" s="272">
        <f t="shared" si="10"/>
        <v>46507</v>
      </c>
      <c r="C125" s="272">
        <f t="shared" si="15"/>
        <v>46538</v>
      </c>
      <c r="D125" s="272"/>
      <c r="E125" s="274">
        <f t="shared" si="12"/>
        <v>72211.476879432623</v>
      </c>
      <c r="F125" s="274">
        <f t="shared" si="14"/>
        <v>3032882.0289361533</v>
      </c>
      <c r="G125" s="273">
        <f t="shared" si="9"/>
        <v>16832.49526059565</v>
      </c>
      <c r="H125" s="273"/>
      <c r="I125" s="275">
        <f t="shared" si="11"/>
        <v>89043.972140028272</v>
      </c>
    </row>
    <row r="126" spans="1:12" s="271" customFormat="1">
      <c r="A126" s="271">
        <f t="shared" si="13"/>
        <v>104</v>
      </c>
      <c r="B126" s="272">
        <f t="shared" si="10"/>
        <v>46538</v>
      </c>
      <c r="C126" s="272">
        <f t="shared" si="15"/>
        <v>46568</v>
      </c>
      <c r="D126" s="272"/>
      <c r="E126" s="274">
        <f t="shared" si="12"/>
        <v>72211.476879432623</v>
      </c>
      <c r="F126" s="274">
        <f t="shared" si="14"/>
        <v>2960670.5520567205</v>
      </c>
      <c r="G126" s="273">
        <f t="shared" si="9"/>
        <v>16979.44561604529</v>
      </c>
      <c r="H126" s="273"/>
      <c r="I126" s="275">
        <f t="shared" si="11"/>
        <v>89190.92249547792</v>
      </c>
    </row>
    <row r="127" spans="1:12" s="271" customFormat="1">
      <c r="A127" s="271">
        <f t="shared" si="13"/>
        <v>105</v>
      </c>
      <c r="B127" s="272">
        <f t="shared" si="10"/>
        <v>46568</v>
      </c>
      <c r="C127" s="272">
        <f t="shared" si="15"/>
        <v>46599</v>
      </c>
      <c r="D127" s="272"/>
      <c r="E127" s="274">
        <f t="shared" si="12"/>
        <v>72211.476879432623</v>
      </c>
      <c r="F127" s="274">
        <f t="shared" si="14"/>
        <v>2888459.0751772877</v>
      </c>
      <c r="G127" s="273">
        <f t="shared" si="9"/>
        <v>16030.947867233945</v>
      </c>
      <c r="H127" s="273"/>
      <c r="I127" s="275">
        <f t="shared" si="11"/>
        <v>88242.424746666569</v>
      </c>
    </row>
    <row r="128" spans="1:12" s="271" customFormat="1">
      <c r="A128" s="271">
        <f t="shared" si="13"/>
        <v>106</v>
      </c>
      <c r="B128" s="272">
        <f t="shared" si="10"/>
        <v>46599</v>
      </c>
      <c r="C128" s="272">
        <f t="shared" si="15"/>
        <v>46630</v>
      </c>
      <c r="D128" s="272"/>
      <c r="E128" s="274">
        <f t="shared" si="12"/>
        <v>72211.476879432623</v>
      </c>
      <c r="F128" s="274">
        <f t="shared" si="14"/>
        <v>2816247.5982978549</v>
      </c>
      <c r="G128" s="273">
        <f t="shared" si="9"/>
        <v>16151.179976238194</v>
      </c>
      <c r="H128" s="273"/>
      <c r="I128" s="275">
        <f t="shared" si="11"/>
        <v>88362.656855670823</v>
      </c>
    </row>
    <row r="129" spans="1:12" s="271" customFormat="1">
      <c r="A129" s="271">
        <f t="shared" si="13"/>
        <v>107</v>
      </c>
      <c r="B129" s="272">
        <f t="shared" si="10"/>
        <v>46630</v>
      </c>
      <c r="C129" s="272">
        <f t="shared" si="15"/>
        <v>46660</v>
      </c>
      <c r="D129" s="272"/>
      <c r="E129" s="274">
        <f t="shared" si="12"/>
        <v>72211.476879432623</v>
      </c>
      <c r="F129" s="274">
        <f t="shared" si="14"/>
        <v>2744036.1214184221</v>
      </c>
      <c r="G129" s="273">
        <f t="shared" si="9"/>
        <v>15737.047156334647</v>
      </c>
      <c r="H129" s="273"/>
      <c r="I129" s="275">
        <f t="shared" si="11"/>
        <v>87948.524035767274</v>
      </c>
    </row>
    <row r="130" spans="1:12" s="271" customFormat="1">
      <c r="A130" s="271">
        <f t="shared" si="13"/>
        <v>108</v>
      </c>
      <c r="B130" s="272">
        <f t="shared" si="10"/>
        <v>46660</v>
      </c>
      <c r="C130" s="272">
        <f t="shared" si="15"/>
        <v>46691</v>
      </c>
      <c r="D130" s="272"/>
      <c r="E130" s="274">
        <f t="shared" si="12"/>
        <v>72211.476879432623</v>
      </c>
      <c r="F130" s="274">
        <f t="shared" si="14"/>
        <v>2671824.6445389893</v>
      </c>
      <c r="G130" s="273">
        <f t="shared" si="9"/>
        <v>14828.626777191388</v>
      </c>
      <c r="H130" s="273"/>
      <c r="I130" s="275">
        <f t="shared" si="11"/>
        <v>87040.103656624007</v>
      </c>
    </row>
    <row r="131" spans="1:12" s="271" customFormat="1">
      <c r="A131" s="271">
        <f t="shared" si="13"/>
        <v>109</v>
      </c>
      <c r="B131" s="272">
        <f t="shared" si="10"/>
        <v>46691</v>
      </c>
      <c r="C131" s="272">
        <f t="shared" si="15"/>
        <v>46721</v>
      </c>
      <c r="D131" s="272"/>
      <c r="E131" s="274">
        <f t="shared" si="12"/>
        <v>72211.476879432623</v>
      </c>
      <c r="F131" s="274">
        <f t="shared" si="14"/>
        <v>2599613.1676595565</v>
      </c>
      <c r="G131" s="273">
        <f t="shared" si="9"/>
        <v>14908.781516527553</v>
      </c>
      <c r="H131" s="273"/>
      <c r="I131" s="275">
        <f t="shared" si="11"/>
        <v>87120.258395960176</v>
      </c>
    </row>
    <row r="132" spans="1:12" s="271" customFormat="1">
      <c r="A132" s="271">
        <f t="shared" si="13"/>
        <v>110</v>
      </c>
      <c r="B132" s="272">
        <f t="shared" si="10"/>
        <v>46721</v>
      </c>
      <c r="C132" s="272">
        <f t="shared" si="15"/>
        <v>46752</v>
      </c>
      <c r="D132" s="272"/>
      <c r="E132" s="274">
        <f t="shared" si="12"/>
        <v>72211.476879432623</v>
      </c>
      <c r="F132" s="274">
        <f t="shared" si="14"/>
        <v>2527401.6907801237</v>
      </c>
      <c r="G132" s="273">
        <f t="shared" si="9"/>
        <v>14027.079383829687</v>
      </c>
      <c r="H132" s="273"/>
      <c r="I132" s="275">
        <f t="shared" si="11"/>
        <v>86238.556263262304</v>
      </c>
    </row>
    <row r="133" spans="1:12" s="281" customFormat="1">
      <c r="A133" s="281">
        <f t="shared" si="13"/>
        <v>111</v>
      </c>
      <c r="B133" s="282">
        <f t="shared" si="10"/>
        <v>46752</v>
      </c>
      <c r="C133" s="282">
        <f t="shared" si="15"/>
        <v>46783</v>
      </c>
      <c r="D133" s="282"/>
      <c r="E133" s="283">
        <f t="shared" si="12"/>
        <v>72211.476879432623</v>
      </c>
      <c r="F133" s="283">
        <f t="shared" si="14"/>
        <v>2455190.2139006909</v>
      </c>
      <c r="G133" s="285">
        <f t="shared" si="9"/>
        <v>14080.515876720459</v>
      </c>
      <c r="H133" s="285"/>
      <c r="I133" s="284">
        <f t="shared" si="11"/>
        <v>86291.992756153079</v>
      </c>
      <c r="K133" s="286">
        <f>SUM(E122:E133)</f>
        <v>866537.72255319124</v>
      </c>
      <c r="L133" s="286">
        <f>SUM(G122:G133)</f>
        <v>192478.24739258888</v>
      </c>
    </row>
    <row r="134" spans="1:12" s="271" customFormat="1">
      <c r="A134" s="271">
        <f t="shared" si="13"/>
        <v>112</v>
      </c>
      <c r="B134" s="272">
        <f t="shared" si="10"/>
        <v>46783</v>
      </c>
      <c r="C134" s="272">
        <f t="shared" si="15"/>
        <v>46812</v>
      </c>
      <c r="D134" s="272"/>
      <c r="E134" s="274">
        <f t="shared" si="12"/>
        <v>72211.476879432623</v>
      </c>
      <c r="F134" s="274">
        <f t="shared" si="14"/>
        <v>2382978.7370212581</v>
      </c>
      <c r="G134" s="273">
        <f t="shared" si="9"/>
        <v>13666.383056816911</v>
      </c>
      <c r="H134" s="273"/>
      <c r="I134" s="275">
        <f t="shared" si="11"/>
        <v>85877.85993624953</v>
      </c>
    </row>
    <row r="135" spans="1:12" s="271" customFormat="1">
      <c r="A135" s="271">
        <f t="shared" si="13"/>
        <v>113</v>
      </c>
      <c r="B135" s="272">
        <f t="shared" si="10"/>
        <v>46812</v>
      </c>
      <c r="C135" s="272">
        <f t="shared" si="15"/>
        <v>46843</v>
      </c>
      <c r="D135" s="272"/>
      <c r="E135" s="274">
        <f t="shared" si="12"/>
        <v>72211.476879432623</v>
      </c>
      <c r="F135" s="274">
        <f t="shared" si="14"/>
        <v>2310767.2601418253</v>
      </c>
      <c r="G135" s="273">
        <f t="shared" si="9"/>
        <v>12397.266350660891</v>
      </c>
      <c r="H135" s="273"/>
      <c r="I135" s="275">
        <f t="shared" si="11"/>
        <v>84608.743230093518</v>
      </c>
    </row>
    <row r="136" spans="1:12" s="271" customFormat="1">
      <c r="A136" s="271">
        <f t="shared" si="13"/>
        <v>114</v>
      </c>
      <c r="B136" s="272">
        <f t="shared" si="10"/>
        <v>46843</v>
      </c>
      <c r="C136" s="272">
        <f t="shared" si="15"/>
        <v>46873</v>
      </c>
      <c r="D136" s="272"/>
      <c r="E136" s="274">
        <f t="shared" si="12"/>
        <v>72211.476879432623</v>
      </c>
      <c r="F136" s="274">
        <f t="shared" si="14"/>
        <v>2238555.7832623925</v>
      </c>
      <c r="G136" s="273">
        <f t="shared" si="9"/>
        <v>12838.117417009818</v>
      </c>
      <c r="H136" s="273"/>
      <c r="I136" s="275">
        <f t="shared" si="11"/>
        <v>85049.594296442447</v>
      </c>
    </row>
    <row r="137" spans="1:12" s="271" customFormat="1">
      <c r="A137" s="271">
        <f t="shared" si="13"/>
        <v>115</v>
      </c>
      <c r="B137" s="272">
        <f t="shared" si="10"/>
        <v>46873</v>
      </c>
      <c r="C137" s="272">
        <f t="shared" si="15"/>
        <v>46904</v>
      </c>
      <c r="D137" s="272"/>
      <c r="E137" s="274">
        <f t="shared" si="12"/>
        <v>72211.476879432623</v>
      </c>
      <c r="F137" s="274">
        <f t="shared" si="14"/>
        <v>2166344.3063829597</v>
      </c>
      <c r="G137" s="273">
        <f t="shared" si="9"/>
        <v>12023.210900425425</v>
      </c>
      <c r="H137" s="273"/>
      <c r="I137" s="275">
        <f t="shared" si="11"/>
        <v>84234.687779858054</v>
      </c>
    </row>
    <row r="138" spans="1:12" s="271" customFormat="1">
      <c r="A138" s="271">
        <f t="shared" si="13"/>
        <v>116</v>
      </c>
      <c r="B138" s="272">
        <f t="shared" si="10"/>
        <v>46904</v>
      </c>
      <c r="C138" s="272">
        <f t="shared" si="15"/>
        <v>46934</v>
      </c>
      <c r="D138" s="272"/>
      <c r="E138" s="274">
        <f t="shared" si="12"/>
        <v>72211.476879432623</v>
      </c>
      <c r="F138" s="274">
        <f t="shared" si="14"/>
        <v>2094132.8295035271</v>
      </c>
      <c r="G138" s="273">
        <f t="shared" si="9"/>
        <v>12009.851777202726</v>
      </c>
      <c r="H138" s="273"/>
      <c r="I138" s="275">
        <f t="shared" si="11"/>
        <v>84221.328656635349</v>
      </c>
    </row>
    <row r="139" spans="1:12" s="271" customFormat="1">
      <c r="A139" s="271">
        <f t="shared" si="13"/>
        <v>117</v>
      </c>
      <c r="B139" s="272">
        <f t="shared" si="10"/>
        <v>46934</v>
      </c>
      <c r="C139" s="272">
        <f t="shared" si="15"/>
        <v>46965</v>
      </c>
      <c r="D139" s="272"/>
      <c r="E139" s="274">
        <f t="shared" si="12"/>
        <v>72211.476879432623</v>
      </c>
      <c r="F139" s="274">
        <f t="shared" si="14"/>
        <v>2021921.3526240946</v>
      </c>
      <c r="G139" s="273">
        <f t="shared" si="9"/>
        <v>11221.663507063724</v>
      </c>
      <c r="H139" s="273"/>
      <c r="I139" s="275">
        <f t="shared" si="11"/>
        <v>83433.14038649635</v>
      </c>
    </row>
    <row r="140" spans="1:12" s="271" customFormat="1">
      <c r="A140" s="271">
        <f t="shared" si="13"/>
        <v>118</v>
      </c>
      <c r="B140" s="272">
        <f t="shared" si="10"/>
        <v>46965</v>
      </c>
      <c r="C140" s="272">
        <f t="shared" si="15"/>
        <v>46996</v>
      </c>
      <c r="D140" s="272"/>
      <c r="E140" s="274">
        <f t="shared" si="12"/>
        <v>72211.476879432623</v>
      </c>
      <c r="F140" s="274">
        <f t="shared" si="14"/>
        <v>1949709.875744662</v>
      </c>
      <c r="G140" s="273">
        <f t="shared" si="9"/>
        <v>11181.586137395634</v>
      </c>
      <c r="H140" s="273"/>
      <c r="I140" s="275">
        <f t="shared" si="11"/>
        <v>83393.063016828251</v>
      </c>
    </row>
    <row r="141" spans="1:12" s="271" customFormat="1">
      <c r="A141" s="271">
        <f t="shared" si="13"/>
        <v>119</v>
      </c>
      <c r="B141" s="272">
        <f t="shared" si="10"/>
        <v>46996</v>
      </c>
      <c r="C141" s="272">
        <f t="shared" si="15"/>
        <v>47026</v>
      </c>
      <c r="D141" s="272"/>
      <c r="E141" s="274">
        <f t="shared" si="12"/>
        <v>72211.476879432623</v>
      </c>
      <c r="F141" s="274">
        <f t="shared" si="14"/>
        <v>1877498.3988652295</v>
      </c>
      <c r="G141" s="273">
        <f t="shared" si="9"/>
        <v>10767.453317492087</v>
      </c>
      <c r="H141" s="273"/>
      <c r="I141" s="275">
        <f t="shared" si="11"/>
        <v>82978.930196924717</v>
      </c>
    </row>
    <row r="142" spans="1:12" s="271" customFormat="1">
      <c r="A142" s="271">
        <f t="shared" si="13"/>
        <v>120</v>
      </c>
      <c r="B142" s="272">
        <f t="shared" si="10"/>
        <v>47026</v>
      </c>
      <c r="C142" s="272">
        <f t="shared" si="15"/>
        <v>47057</v>
      </c>
      <c r="D142" s="272"/>
      <c r="E142" s="274">
        <f t="shared" si="12"/>
        <v>72211.476879432623</v>
      </c>
      <c r="F142" s="274">
        <f t="shared" si="14"/>
        <v>1805286.9219857969</v>
      </c>
      <c r="G142" s="273">
        <f t="shared" si="9"/>
        <v>10019.342417021173</v>
      </c>
      <c r="H142" s="273"/>
      <c r="I142" s="275">
        <f t="shared" si="11"/>
        <v>82230.819296453788</v>
      </c>
    </row>
    <row r="143" spans="1:12" s="271" customFormat="1">
      <c r="A143" s="271">
        <f t="shared" si="13"/>
        <v>121</v>
      </c>
      <c r="B143" s="272">
        <f t="shared" si="10"/>
        <v>47057</v>
      </c>
      <c r="C143" s="272">
        <f t="shared" si="15"/>
        <v>47087</v>
      </c>
      <c r="D143" s="272"/>
      <c r="E143" s="274">
        <f t="shared" si="12"/>
        <v>72211.476879432623</v>
      </c>
      <c r="F143" s="274">
        <f t="shared" si="14"/>
        <v>1733075.4451063643</v>
      </c>
      <c r="G143" s="273">
        <f t="shared" si="9"/>
        <v>9939.1876776849967</v>
      </c>
      <c r="H143" s="273"/>
      <c r="I143" s="275">
        <f t="shared" si="11"/>
        <v>82150.66455711762</v>
      </c>
    </row>
    <row r="144" spans="1:12" s="271" customFormat="1">
      <c r="A144" s="271">
        <f t="shared" si="13"/>
        <v>122</v>
      </c>
      <c r="B144" s="272">
        <f t="shared" si="10"/>
        <v>47087</v>
      </c>
      <c r="C144" s="272">
        <f t="shared" si="15"/>
        <v>47118</v>
      </c>
      <c r="D144" s="272"/>
      <c r="E144" s="274">
        <f t="shared" si="12"/>
        <v>72211.476879432623</v>
      </c>
      <c r="F144" s="274">
        <f t="shared" si="14"/>
        <v>1660863.9682269318</v>
      </c>
      <c r="G144" s="273">
        <f t="shared" ref="G144:G166" si="16">(B144-B143)*$E$8*F144/360</f>
        <v>9217.7950236594697</v>
      </c>
      <c r="H144" s="273"/>
      <c r="I144" s="275">
        <f t="shared" si="11"/>
        <v>81429.2719030921</v>
      </c>
    </row>
    <row r="145" spans="1:12" s="281" customFormat="1">
      <c r="A145" s="281">
        <f t="shared" si="13"/>
        <v>123</v>
      </c>
      <c r="B145" s="282">
        <f t="shared" ref="B145:B166" si="17">EOMONTH(B144,1)</f>
        <v>47118</v>
      </c>
      <c r="C145" s="282">
        <f t="shared" si="15"/>
        <v>47149</v>
      </c>
      <c r="D145" s="282"/>
      <c r="E145" s="283">
        <f t="shared" si="12"/>
        <v>72211.476879432623</v>
      </c>
      <c r="F145" s="283">
        <f t="shared" si="14"/>
        <v>1588652.4913474992</v>
      </c>
      <c r="G145" s="285">
        <f t="shared" si="16"/>
        <v>9110.9220378779064</v>
      </c>
      <c r="H145" s="285"/>
      <c r="I145" s="284">
        <f t="shared" ref="I145:I166" si="18">E145+G145</f>
        <v>81322.398917310522</v>
      </c>
      <c r="K145" s="286">
        <f>SUM(E134:E145)</f>
        <v>866537.72255319124</v>
      </c>
      <c r="L145" s="286">
        <f>SUM(G134:G145)</f>
        <v>134392.77962031076</v>
      </c>
    </row>
    <row r="146" spans="1:12" s="271" customFormat="1">
      <c r="A146" s="271">
        <f t="shared" si="13"/>
        <v>124</v>
      </c>
      <c r="B146" s="272">
        <f t="shared" si="17"/>
        <v>47149</v>
      </c>
      <c r="C146" s="272">
        <f t="shared" si="15"/>
        <v>47177</v>
      </c>
      <c r="D146" s="272"/>
      <c r="E146" s="274">
        <f t="shared" si="12"/>
        <v>72211.476879432623</v>
      </c>
      <c r="F146" s="274">
        <f t="shared" si="14"/>
        <v>1516441.0144680666</v>
      </c>
      <c r="G146" s="273">
        <f t="shared" si="16"/>
        <v>8696.7892179743612</v>
      </c>
      <c r="H146" s="273"/>
      <c r="I146" s="275">
        <f t="shared" si="18"/>
        <v>80908.266097406988</v>
      </c>
    </row>
    <row r="147" spans="1:12" s="271" customFormat="1">
      <c r="A147" s="271">
        <f t="shared" si="13"/>
        <v>125</v>
      </c>
      <c r="B147" s="272">
        <f t="shared" si="17"/>
        <v>47177</v>
      </c>
      <c r="C147" s="272">
        <f t="shared" si="15"/>
        <v>47208</v>
      </c>
      <c r="D147" s="272"/>
      <c r="E147" s="274">
        <f t="shared" si="12"/>
        <v>72211.476879432623</v>
      </c>
      <c r="F147" s="274">
        <f t="shared" si="14"/>
        <v>1444229.5375886341</v>
      </c>
      <c r="G147" s="273">
        <f t="shared" si="16"/>
        <v>7481.1090047091229</v>
      </c>
      <c r="H147" s="273"/>
      <c r="I147" s="275">
        <f t="shared" si="18"/>
        <v>79692.58588414175</v>
      </c>
    </row>
    <row r="148" spans="1:12" s="271" customFormat="1">
      <c r="A148" s="271">
        <f>A147+1</f>
        <v>126</v>
      </c>
      <c r="B148" s="272">
        <f t="shared" si="17"/>
        <v>47208</v>
      </c>
      <c r="C148" s="272">
        <f t="shared" si="15"/>
        <v>47238</v>
      </c>
      <c r="D148" s="272"/>
      <c r="E148" s="274">
        <f t="shared" si="12"/>
        <v>72211.476879432623</v>
      </c>
      <c r="F148" s="274">
        <f t="shared" si="14"/>
        <v>1372018.0607092015</v>
      </c>
      <c r="G148" s="273">
        <f t="shared" si="16"/>
        <v>7868.5235781672682</v>
      </c>
      <c r="H148" s="273"/>
      <c r="I148" s="275">
        <f t="shared" si="18"/>
        <v>80080.00045759989</v>
      </c>
    </row>
    <row r="149" spans="1:12" s="271" customFormat="1">
      <c r="A149" s="271">
        <f t="shared" ref="A149:A157" si="19">A148+1</f>
        <v>127</v>
      </c>
      <c r="B149" s="272">
        <f t="shared" si="17"/>
        <v>47238</v>
      </c>
      <c r="C149" s="272">
        <f t="shared" si="15"/>
        <v>47269</v>
      </c>
      <c r="D149" s="272"/>
      <c r="E149" s="274">
        <f t="shared" ref="E149:E166" si="20">E148</f>
        <v>72211.476879432623</v>
      </c>
      <c r="F149" s="274">
        <f t="shared" si="14"/>
        <v>1299806.5838297689</v>
      </c>
      <c r="G149" s="273">
        <f t="shared" si="16"/>
        <v>7213.9265402552164</v>
      </c>
      <c r="H149" s="273"/>
      <c r="I149" s="275">
        <f t="shared" si="18"/>
        <v>79425.403419687835</v>
      </c>
    </row>
    <row r="150" spans="1:12" s="271" customFormat="1">
      <c r="A150" s="271">
        <f t="shared" si="19"/>
        <v>128</v>
      </c>
      <c r="B150" s="272">
        <f t="shared" si="17"/>
        <v>47269</v>
      </c>
      <c r="C150" s="272">
        <f t="shared" si="15"/>
        <v>47299</v>
      </c>
      <c r="D150" s="272"/>
      <c r="E150" s="274">
        <f t="shared" si="20"/>
        <v>72211.476879432623</v>
      </c>
      <c r="F150" s="274">
        <f t="shared" si="14"/>
        <v>1227595.1069503364</v>
      </c>
      <c r="G150" s="273">
        <f t="shared" si="16"/>
        <v>7040.2579383601769</v>
      </c>
      <c r="H150" s="273"/>
      <c r="I150" s="275">
        <f t="shared" si="18"/>
        <v>79251.734817792807</v>
      </c>
    </row>
    <row r="151" spans="1:12" s="271" customFormat="1">
      <c r="A151" s="271">
        <f t="shared" si="19"/>
        <v>129</v>
      </c>
      <c r="B151" s="272">
        <f t="shared" si="17"/>
        <v>47299</v>
      </c>
      <c r="C151" s="272">
        <f t="shared" si="15"/>
        <v>47330</v>
      </c>
      <c r="D151" s="272"/>
      <c r="E151" s="274">
        <f t="shared" si="20"/>
        <v>72211.476879432623</v>
      </c>
      <c r="F151" s="274">
        <f t="shared" si="14"/>
        <v>1155383.6300709038</v>
      </c>
      <c r="G151" s="273">
        <f t="shared" si="16"/>
        <v>6412.3791468935151</v>
      </c>
      <c r="H151" s="273"/>
      <c r="I151" s="275">
        <f t="shared" si="18"/>
        <v>78623.856026326132</v>
      </c>
    </row>
    <row r="152" spans="1:12" s="271" customFormat="1">
      <c r="A152" s="271">
        <f t="shared" si="19"/>
        <v>130</v>
      </c>
      <c r="B152" s="272">
        <f t="shared" si="17"/>
        <v>47330</v>
      </c>
      <c r="C152" s="272">
        <f t="shared" si="15"/>
        <v>47361</v>
      </c>
      <c r="D152" s="272"/>
      <c r="E152" s="274">
        <f t="shared" si="20"/>
        <v>72211.476879432623</v>
      </c>
      <c r="F152" s="274">
        <f t="shared" si="14"/>
        <v>1083172.1531914712</v>
      </c>
      <c r="G152" s="273">
        <f t="shared" si="16"/>
        <v>6211.9922985530857</v>
      </c>
      <c r="H152" s="273"/>
      <c r="I152" s="275">
        <f t="shared" si="18"/>
        <v>78423.469177985709</v>
      </c>
    </row>
    <row r="153" spans="1:12" s="271" customFormat="1">
      <c r="A153" s="271">
        <f t="shared" si="19"/>
        <v>131</v>
      </c>
      <c r="B153" s="272">
        <f t="shared" si="17"/>
        <v>47361</v>
      </c>
      <c r="C153" s="272">
        <f t="shared" si="15"/>
        <v>47391</v>
      </c>
      <c r="D153" s="272"/>
      <c r="E153" s="274">
        <f t="shared" si="20"/>
        <v>72211.476879432623</v>
      </c>
      <c r="F153" s="274">
        <f t="shared" si="14"/>
        <v>1010960.6763120387</v>
      </c>
      <c r="G153" s="273">
        <f t="shared" si="16"/>
        <v>5797.8594786495405</v>
      </c>
      <c r="H153" s="273"/>
      <c r="I153" s="275">
        <f t="shared" si="18"/>
        <v>78009.336358082161</v>
      </c>
    </row>
    <row r="154" spans="1:12" s="271" customFormat="1">
      <c r="A154" s="271">
        <f t="shared" si="19"/>
        <v>132</v>
      </c>
      <c r="B154" s="272">
        <f t="shared" si="17"/>
        <v>47391</v>
      </c>
      <c r="C154" s="272">
        <f t="shared" si="15"/>
        <v>47422</v>
      </c>
      <c r="D154" s="272"/>
      <c r="E154" s="274">
        <f t="shared" si="20"/>
        <v>72211.476879432623</v>
      </c>
      <c r="F154" s="274">
        <f t="shared" si="14"/>
        <v>938749.19943260611</v>
      </c>
      <c r="G154" s="273">
        <f t="shared" si="16"/>
        <v>5210.0580568509631</v>
      </c>
      <c r="H154" s="273"/>
      <c r="I154" s="275">
        <f t="shared" si="18"/>
        <v>77421.534936283584</v>
      </c>
    </row>
    <row r="155" spans="1:12" s="271" customFormat="1">
      <c r="A155" s="271">
        <f t="shared" si="19"/>
        <v>133</v>
      </c>
      <c r="B155" s="272">
        <f t="shared" si="17"/>
        <v>47422</v>
      </c>
      <c r="C155" s="272">
        <f t="shared" si="15"/>
        <v>47452</v>
      </c>
      <c r="D155" s="272"/>
      <c r="E155" s="274">
        <f t="shared" si="20"/>
        <v>72211.476879432623</v>
      </c>
      <c r="F155" s="274">
        <f t="shared" si="14"/>
        <v>866537.72255317355</v>
      </c>
      <c r="G155" s="273">
        <f t="shared" si="16"/>
        <v>4969.5938388424493</v>
      </c>
      <c r="H155" s="273"/>
      <c r="I155" s="275">
        <f t="shared" si="18"/>
        <v>77181.070718275078</v>
      </c>
    </row>
    <row r="156" spans="1:12" s="271" customFormat="1">
      <c r="A156" s="271">
        <f t="shared" si="19"/>
        <v>134</v>
      </c>
      <c r="B156" s="272">
        <f t="shared" si="17"/>
        <v>47452</v>
      </c>
      <c r="C156" s="272">
        <f t="shared" si="15"/>
        <v>47483</v>
      </c>
      <c r="D156" s="272"/>
      <c r="E156" s="274">
        <f t="shared" si="20"/>
        <v>72211.476879432623</v>
      </c>
      <c r="F156" s="274">
        <f t="shared" ref="F156:F166" si="21">F155-E155</f>
        <v>794326.24567374098</v>
      </c>
      <c r="G156" s="273">
        <f t="shared" si="16"/>
        <v>4408.5106634892618</v>
      </c>
      <c r="H156" s="273"/>
      <c r="I156" s="275">
        <f t="shared" si="18"/>
        <v>76619.987542921881</v>
      </c>
    </row>
    <row r="157" spans="1:12" s="281" customFormat="1">
      <c r="A157" s="281">
        <f t="shared" si="19"/>
        <v>135</v>
      </c>
      <c r="B157" s="282">
        <f t="shared" si="17"/>
        <v>47483</v>
      </c>
      <c r="C157" s="282">
        <f t="shared" ref="C157:C166" si="22">B158</f>
        <v>47514</v>
      </c>
      <c r="D157" s="282"/>
      <c r="E157" s="283">
        <f t="shared" si="20"/>
        <v>72211.476879432623</v>
      </c>
      <c r="F157" s="283">
        <f t="shared" si="21"/>
        <v>722114.76879430842</v>
      </c>
      <c r="G157" s="285">
        <f t="shared" si="16"/>
        <v>4141.328199035358</v>
      </c>
      <c r="H157" s="285"/>
      <c r="I157" s="284">
        <f t="shared" si="18"/>
        <v>76352.80507846798</v>
      </c>
      <c r="K157" s="286">
        <f>SUM(E146:E157)</f>
        <v>866537.72255319124</v>
      </c>
      <c r="L157" s="286">
        <f>SUM(G146:G157)</f>
        <v>75452.327961780305</v>
      </c>
    </row>
    <row r="158" spans="1:12" s="271" customFormat="1">
      <c r="A158" s="271">
        <f t="shared" ref="A158:A166" si="23">A157+1</f>
        <v>136</v>
      </c>
      <c r="B158" s="272">
        <f t="shared" si="17"/>
        <v>47514</v>
      </c>
      <c r="C158" s="272">
        <f t="shared" si="22"/>
        <v>47542</v>
      </c>
      <c r="D158" s="272"/>
      <c r="E158" s="274">
        <f t="shared" si="20"/>
        <v>72211.476879432623</v>
      </c>
      <c r="F158" s="274">
        <f t="shared" si="21"/>
        <v>649903.29191487585</v>
      </c>
      <c r="G158" s="273">
        <f t="shared" si="16"/>
        <v>3727.1953791318124</v>
      </c>
      <c r="H158" s="273"/>
      <c r="I158" s="275">
        <f t="shared" si="18"/>
        <v>75938.672258564431</v>
      </c>
    </row>
    <row r="159" spans="1:12" s="271" customFormat="1">
      <c r="A159" s="271">
        <f t="shared" si="23"/>
        <v>137</v>
      </c>
      <c r="B159" s="272">
        <f t="shared" si="17"/>
        <v>47542</v>
      </c>
      <c r="C159" s="272">
        <f t="shared" si="22"/>
        <v>47573</v>
      </c>
      <c r="D159" s="272"/>
      <c r="E159" s="274">
        <f t="shared" si="20"/>
        <v>72211.476879432623</v>
      </c>
      <c r="F159" s="274">
        <f t="shared" si="21"/>
        <v>577691.81503544329</v>
      </c>
      <c r="G159" s="273">
        <f t="shared" si="16"/>
        <v>2992.4436018835959</v>
      </c>
      <c r="H159" s="273"/>
      <c r="I159" s="275">
        <f t="shared" si="18"/>
        <v>75203.920481316221</v>
      </c>
    </row>
    <row r="160" spans="1:12" s="271" customFormat="1">
      <c r="A160" s="271">
        <f t="shared" si="23"/>
        <v>138</v>
      </c>
      <c r="B160" s="272">
        <f t="shared" si="17"/>
        <v>47573</v>
      </c>
      <c r="C160" s="272">
        <f t="shared" si="22"/>
        <v>47603</v>
      </c>
      <c r="D160" s="272"/>
      <c r="E160" s="274">
        <f t="shared" si="20"/>
        <v>72211.476879432623</v>
      </c>
      <c r="F160" s="274">
        <f t="shared" si="21"/>
        <v>505480.33815601066</v>
      </c>
      <c r="G160" s="273">
        <f t="shared" si="16"/>
        <v>2898.9297393247202</v>
      </c>
      <c r="H160" s="273"/>
      <c r="I160" s="275">
        <f t="shared" si="18"/>
        <v>75110.406618757348</v>
      </c>
    </row>
    <row r="161" spans="1:12" s="271" customFormat="1">
      <c r="A161" s="271">
        <f t="shared" si="23"/>
        <v>139</v>
      </c>
      <c r="B161" s="272">
        <f t="shared" si="17"/>
        <v>47603</v>
      </c>
      <c r="C161" s="272">
        <f t="shared" si="22"/>
        <v>47634</v>
      </c>
      <c r="D161" s="272"/>
      <c r="E161" s="274">
        <f t="shared" si="20"/>
        <v>72211.476879432623</v>
      </c>
      <c r="F161" s="274">
        <f t="shared" si="21"/>
        <v>433268.86127657804</v>
      </c>
      <c r="G161" s="273">
        <f t="shared" si="16"/>
        <v>2404.642180085008</v>
      </c>
      <c r="H161" s="273"/>
      <c r="I161" s="275">
        <f t="shared" si="18"/>
        <v>74616.11905951763</v>
      </c>
    </row>
    <row r="162" spans="1:12" s="271" customFormat="1">
      <c r="A162" s="271">
        <f t="shared" si="23"/>
        <v>140</v>
      </c>
      <c r="B162" s="272">
        <f t="shared" si="17"/>
        <v>47634</v>
      </c>
      <c r="C162" s="272">
        <f t="shared" si="22"/>
        <v>47664</v>
      </c>
      <c r="D162" s="272"/>
      <c r="E162" s="274">
        <f t="shared" si="20"/>
        <v>72211.476879432623</v>
      </c>
      <c r="F162" s="274">
        <f t="shared" si="21"/>
        <v>361057.38439714542</v>
      </c>
      <c r="G162" s="273">
        <f t="shared" si="16"/>
        <v>2070.6640995176285</v>
      </c>
      <c r="H162" s="273"/>
      <c r="I162" s="275">
        <f t="shared" si="18"/>
        <v>74282.14097895025</v>
      </c>
    </row>
    <row r="163" spans="1:12" s="271" customFormat="1">
      <c r="A163" s="271">
        <f t="shared" si="23"/>
        <v>141</v>
      </c>
      <c r="B163" s="272">
        <f t="shared" si="17"/>
        <v>47664</v>
      </c>
      <c r="C163" s="272">
        <f t="shared" si="22"/>
        <v>47695</v>
      </c>
      <c r="D163" s="272"/>
      <c r="E163" s="274">
        <f t="shared" si="20"/>
        <v>72211.476879432623</v>
      </c>
      <c r="F163" s="274">
        <f t="shared" si="21"/>
        <v>288845.9075177128</v>
      </c>
      <c r="G163" s="273">
        <f t="shared" si="16"/>
        <v>1603.0947867233058</v>
      </c>
      <c r="H163" s="273"/>
      <c r="I163" s="275">
        <f t="shared" si="18"/>
        <v>73814.571666155927</v>
      </c>
    </row>
    <row r="164" spans="1:12" s="271" customFormat="1">
      <c r="A164" s="271">
        <f t="shared" si="23"/>
        <v>142</v>
      </c>
      <c r="B164" s="272">
        <f t="shared" si="17"/>
        <v>47695</v>
      </c>
      <c r="C164" s="272">
        <f t="shared" si="22"/>
        <v>47726</v>
      </c>
      <c r="D164" s="272"/>
      <c r="E164" s="274">
        <f t="shared" si="20"/>
        <v>72211.476879432623</v>
      </c>
      <c r="F164" s="274">
        <f t="shared" si="21"/>
        <v>216634.43063828017</v>
      </c>
      <c r="G164" s="273">
        <f t="shared" si="16"/>
        <v>1242.3984597105364</v>
      </c>
      <c r="H164" s="273"/>
      <c r="I164" s="275">
        <f t="shared" si="18"/>
        <v>73453.875339143153</v>
      </c>
    </row>
    <row r="165" spans="1:12" s="271" customFormat="1">
      <c r="A165" s="271">
        <f t="shared" si="23"/>
        <v>143</v>
      </c>
      <c r="B165" s="272">
        <f t="shared" si="17"/>
        <v>47726</v>
      </c>
      <c r="C165" s="272">
        <f t="shared" si="22"/>
        <v>47756</v>
      </c>
      <c r="D165" s="272"/>
      <c r="E165" s="274">
        <f t="shared" si="20"/>
        <v>72211.476879432623</v>
      </c>
      <c r="F165" s="274">
        <f t="shared" si="21"/>
        <v>144422.95375884755</v>
      </c>
      <c r="G165" s="273">
        <f t="shared" si="16"/>
        <v>828.26563980699052</v>
      </c>
      <c r="H165" s="273"/>
      <c r="I165" s="275">
        <f t="shared" si="18"/>
        <v>73039.742519239619</v>
      </c>
    </row>
    <row r="166" spans="1:12" s="281" customFormat="1">
      <c r="A166" s="281">
        <f t="shared" si="23"/>
        <v>144</v>
      </c>
      <c r="B166" s="282">
        <f t="shared" si="17"/>
        <v>47756</v>
      </c>
      <c r="C166" s="282">
        <f t="shared" si="22"/>
        <v>0</v>
      </c>
      <c r="D166" s="282"/>
      <c r="E166" s="283">
        <f t="shared" si="20"/>
        <v>72211.476879432623</v>
      </c>
      <c r="F166" s="283">
        <f t="shared" si="21"/>
        <v>72211.476879414928</v>
      </c>
      <c r="G166" s="285">
        <f t="shared" si="16"/>
        <v>400.77369668075278</v>
      </c>
      <c r="H166" s="285"/>
      <c r="I166" s="284">
        <f t="shared" si="18"/>
        <v>72612.25057611338</v>
      </c>
      <c r="K166" s="286">
        <f>SUM(E158:E166)</f>
        <v>649903.29191489355</v>
      </c>
      <c r="L166" s="286">
        <f>SUM(G158:G166)</f>
        <v>18168.407582864351</v>
      </c>
    </row>
    <row r="167" spans="1:12" s="271" customFormat="1">
      <c r="B167" s="272"/>
      <c r="C167" s="272"/>
      <c r="D167" s="272"/>
      <c r="E167" s="274"/>
      <c r="F167" s="274"/>
      <c r="G167" s="273"/>
      <c r="H167" s="273"/>
      <c r="I167" s="275"/>
    </row>
    <row r="168" spans="1:12" s="271" customFormat="1">
      <c r="B168" s="272"/>
      <c r="C168" s="272"/>
      <c r="D168" s="272"/>
      <c r="E168" s="274"/>
      <c r="F168" s="274"/>
      <c r="G168" s="273"/>
      <c r="H168" s="273"/>
      <c r="I168" s="275"/>
    </row>
    <row r="169" spans="1:12" s="271" customFormat="1">
      <c r="B169" s="272"/>
      <c r="C169" s="272"/>
      <c r="D169" s="272"/>
      <c r="E169" s="274"/>
      <c r="F169" s="274"/>
      <c r="G169" s="273"/>
      <c r="H169" s="273"/>
      <c r="I169" s="275"/>
    </row>
    <row r="170" spans="1:12" s="271" customFormat="1">
      <c r="B170" s="272"/>
      <c r="C170" s="272"/>
      <c r="D170" s="272"/>
      <c r="E170" s="274"/>
      <c r="F170" s="274"/>
      <c r="G170" s="273"/>
      <c r="H170" s="273"/>
      <c r="I170" s="275"/>
    </row>
    <row r="171" spans="1:12" s="271" customFormat="1">
      <c r="B171" s="276" t="s">
        <v>40</v>
      </c>
      <c r="C171" s="276"/>
      <c r="D171" s="276"/>
      <c r="E171" s="277">
        <f>SUM(E14:E170)</f>
        <v>10181818.240000017</v>
      </c>
      <c r="F171" s="277"/>
      <c r="G171" s="277">
        <f>SUM(G21:G170)</f>
        <v>4242857.5355279315</v>
      </c>
      <c r="H171" s="277"/>
      <c r="I171" s="277">
        <f>SUM(I27:I170)</f>
        <v>14120777.024597304</v>
      </c>
      <c r="K171" s="280">
        <f>SUM(K166,K157,K145,K133,K121,K109,K97,K85,K73,K61,K49,K37)</f>
        <v>10181818.24</v>
      </c>
      <c r="L171" s="280">
        <f>SUM(L25:L166)</f>
        <v>4242857.5355279334</v>
      </c>
    </row>
    <row r="172" spans="1:12" s="271" customFormat="1">
      <c r="B172" s="278" t="s">
        <v>131</v>
      </c>
      <c r="C172" s="279"/>
      <c r="D172" s="279"/>
      <c r="E172" s="280"/>
      <c r="F172" s="280"/>
      <c r="G172" s="261"/>
      <c r="H172" s="261"/>
      <c r="I172" s="280"/>
    </row>
    <row r="173" spans="1:12" s="271" customFormat="1">
      <c r="B173" s="278" t="s">
        <v>132</v>
      </c>
      <c r="C173" s="279"/>
      <c r="D173" s="279"/>
      <c r="E173" s="280"/>
      <c r="F173" s="280"/>
      <c r="G173" s="261"/>
      <c r="H173" s="261"/>
      <c r="I173" s="280"/>
    </row>
    <row r="174" spans="1:12" s="271" customFormat="1">
      <c r="B174" s="279"/>
      <c r="C174" s="279"/>
      <c r="D174" s="279"/>
      <c r="E174" s="280"/>
      <c r="F174" s="280"/>
      <c r="G174" s="261"/>
      <c r="H174" s="261"/>
      <c r="I174" s="280"/>
    </row>
    <row r="175" spans="1:12" s="271" customFormat="1">
      <c r="B175" s="279"/>
      <c r="C175" s="279"/>
      <c r="D175" s="279"/>
      <c r="E175" s="280"/>
      <c r="F175" s="280"/>
      <c r="G175" s="261"/>
      <c r="H175" s="261"/>
      <c r="I175" s="280"/>
    </row>
    <row r="176" spans="1:12" s="271" customFormat="1">
      <c r="B176" s="279"/>
      <c r="C176" s="279"/>
      <c r="D176" s="279"/>
      <c r="E176" s="280"/>
      <c r="F176" s="280"/>
      <c r="G176" s="261"/>
      <c r="H176" s="261"/>
      <c r="I176" s="280"/>
    </row>
    <row r="177" spans="2:9" s="271" customFormat="1">
      <c r="B177" s="279"/>
      <c r="C177" s="279"/>
      <c r="D177" s="279"/>
      <c r="E177" s="280"/>
      <c r="F177" s="280"/>
      <c r="G177" s="261"/>
      <c r="H177" s="261"/>
      <c r="I177" s="280"/>
    </row>
    <row r="178" spans="2:9" s="271" customFormat="1">
      <c r="B178" s="279"/>
      <c r="C178" s="279"/>
      <c r="D178" s="279"/>
      <c r="E178" s="280"/>
      <c r="F178" s="280"/>
      <c r="G178" s="261"/>
      <c r="H178" s="261"/>
      <c r="I178" s="280"/>
    </row>
    <row r="179" spans="2:9" s="271" customFormat="1">
      <c r="B179" s="279"/>
      <c r="C179" s="279"/>
      <c r="D179" s="279"/>
      <c r="E179" s="280"/>
      <c r="F179" s="280"/>
      <c r="G179" s="261"/>
      <c r="H179" s="261"/>
      <c r="I179" s="280"/>
    </row>
    <row r="180" spans="2:9" s="271" customFormat="1">
      <c r="B180" s="279"/>
      <c r="C180" s="279"/>
      <c r="D180" s="279"/>
      <c r="E180" s="280"/>
      <c r="F180" s="280"/>
      <c r="G180" s="261"/>
      <c r="H180" s="261"/>
      <c r="I180" s="280"/>
    </row>
    <row r="181" spans="2:9" s="271" customFormat="1">
      <c r="B181" s="279"/>
      <c r="C181" s="279"/>
      <c r="D181" s="279"/>
      <c r="E181" s="280"/>
      <c r="F181" s="280"/>
      <c r="G181" s="261"/>
      <c r="H181" s="261"/>
      <c r="I181" s="280"/>
    </row>
    <row r="182" spans="2:9" s="271" customFormat="1">
      <c r="B182" s="279"/>
      <c r="C182" s="279"/>
      <c r="D182" s="279"/>
      <c r="E182" s="280"/>
      <c r="F182" s="280"/>
      <c r="G182" s="261"/>
      <c r="H182" s="261"/>
      <c r="I182" s="280"/>
    </row>
    <row r="183" spans="2:9" s="271" customFormat="1">
      <c r="B183" s="279"/>
      <c r="C183" s="279"/>
      <c r="D183" s="279"/>
      <c r="E183" s="280"/>
      <c r="F183" s="280"/>
      <c r="G183" s="261"/>
      <c r="H183" s="261"/>
      <c r="I183" s="280"/>
    </row>
    <row r="184" spans="2:9" s="271" customFormat="1">
      <c r="B184" s="279"/>
      <c r="C184" s="279"/>
      <c r="D184" s="279"/>
      <c r="E184" s="280"/>
      <c r="F184" s="280"/>
      <c r="G184" s="261"/>
      <c r="H184" s="261"/>
      <c r="I184" s="280"/>
    </row>
    <row r="185" spans="2:9" s="271" customFormat="1">
      <c r="B185" s="279"/>
      <c r="C185" s="279"/>
      <c r="D185" s="279"/>
      <c r="E185" s="280"/>
      <c r="F185" s="280"/>
      <c r="G185" s="261"/>
      <c r="H185" s="261"/>
      <c r="I185" s="280"/>
    </row>
    <row r="186" spans="2:9" s="271" customFormat="1">
      <c r="B186" s="279"/>
      <c r="C186" s="279"/>
      <c r="D186" s="279"/>
      <c r="E186" s="280"/>
      <c r="F186" s="280"/>
      <c r="G186" s="261"/>
      <c r="H186" s="261"/>
      <c r="I186" s="280"/>
    </row>
    <row r="187" spans="2:9" s="271" customFormat="1">
      <c r="B187" s="279"/>
      <c r="C187" s="279"/>
      <c r="D187" s="279"/>
      <c r="E187" s="280"/>
      <c r="F187" s="280"/>
      <c r="G187" s="261"/>
      <c r="H187" s="261"/>
      <c r="I187" s="280"/>
    </row>
    <row r="188" spans="2:9" s="271" customFormat="1">
      <c r="B188" s="279"/>
      <c r="C188" s="279"/>
      <c r="D188" s="279"/>
      <c r="E188" s="280"/>
      <c r="F188" s="280"/>
      <c r="G188" s="261"/>
      <c r="H188" s="261"/>
      <c r="I188" s="280"/>
    </row>
    <row r="189" spans="2:9" s="271" customFormat="1">
      <c r="B189" s="279"/>
      <c r="C189" s="279"/>
      <c r="D189" s="279"/>
      <c r="E189" s="280"/>
      <c r="F189" s="280"/>
      <c r="G189" s="261"/>
      <c r="H189" s="261"/>
      <c r="I189" s="280"/>
    </row>
    <row r="190" spans="2:9" s="271" customFormat="1">
      <c r="B190" s="279"/>
      <c r="C190" s="279"/>
      <c r="D190" s="279"/>
      <c r="E190" s="280"/>
      <c r="F190" s="280"/>
      <c r="G190" s="261"/>
      <c r="H190" s="261"/>
      <c r="I190" s="280"/>
    </row>
    <row r="191" spans="2:9" s="271" customFormat="1">
      <c r="B191" s="279"/>
      <c r="C191" s="279"/>
      <c r="D191" s="279"/>
      <c r="E191" s="280"/>
      <c r="F191" s="280"/>
      <c r="G191" s="261"/>
      <c r="H191" s="261"/>
      <c r="I191" s="280"/>
    </row>
    <row r="192" spans="2:9" s="271" customFormat="1">
      <c r="B192" s="279"/>
      <c r="C192" s="279"/>
      <c r="D192" s="279"/>
      <c r="E192" s="280"/>
      <c r="F192" s="280"/>
      <c r="G192" s="261"/>
      <c r="H192" s="261"/>
      <c r="I192" s="280"/>
    </row>
    <row r="193" spans="2:9" s="271" customFormat="1">
      <c r="B193" s="279"/>
      <c r="C193" s="279"/>
      <c r="D193" s="279"/>
      <c r="E193" s="280"/>
      <c r="F193" s="280"/>
      <c r="G193" s="261"/>
      <c r="H193" s="261"/>
      <c r="I193" s="280"/>
    </row>
    <row r="194" spans="2:9" s="271" customFormat="1">
      <c r="B194" s="279"/>
      <c r="C194" s="279"/>
      <c r="D194" s="279"/>
      <c r="E194" s="280"/>
      <c r="F194" s="280"/>
      <c r="G194" s="261"/>
      <c r="H194" s="261"/>
      <c r="I194" s="280"/>
    </row>
    <row r="195" spans="2:9" s="271" customFormat="1">
      <c r="B195" s="279"/>
      <c r="C195" s="279"/>
      <c r="D195" s="279"/>
      <c r="E195" s="280"/>
      <c r="F195" s="280"/>
      <c r="G195" s="261"/>
      <c r="H195" s="261"/>
      <c r="I195" s="280"/>
    </row>
    <row r="196" spans="2:9" s="271" customFormat="1">
      <c r="B196" s="279"/>
      <c r="C196" s="279"/>
      <c r="D196" s="279"/>
      <c r="E196" s="280"/>
      <c r="F196" s="280"/>
      <c r="G196" s="261"/>
      <c r="H196" s="261"/>
      <c r="I196" s="280"/>
    </row>
    <row r="197" spans="2:9" s="271" customFormat="1">
      <c r="B197" s="279"/>
      <c r="C197" s="279"/>
      <c r="D197" s="279"/>
      <c r="E197" s="280"/>
      <c r="F197" s="280"/>
      <c r="G197" s="261"/>
      <c r="H197" s="261"/>
      <c r="I197" s="280"/>
    </row>
    <row r="198" spans="2:9" s="271" customFormat="1">
      <c r="B198" s="279"/>
      <c r="C198" s="279"/>
      <c r="D198" s="279"/>
      <c r="E198" s="280"/>
      <c r="F198" s="280"/>
      <c r="G198" s="261"/>
      <c r="H198" s="261"/>
      <c r="I198" s="280"/>
    </row>
    <row r="199" spans="2:9" s="271" customFormat="1">
      <c r="B199" s="279"/>
      <c r="C199" s="279"/>
      <c r="D199" s="279"/>
      <c r="E199" s="280"/>
      <c r="F199" s="280"/>
      <c r="G199" s="261"/>
      <c r="H199" s="261"/>
      <c r="I199" s="280"/>
    </row>
    <row r="200" spans="2:9" s="271" customFormat="1">
      <c r="B200" s="279"/>
      <c r="C200" s="279"/>
      <c r="D200" s="279"/>
      <c r="E200" s="280"/>
      <c r="F200" s="280"/>
      <c r="G200" s="261"/>
      <c r="H200" s="261"/>
      <c r="I200" s="280"/>
    </row>
    <row r="201" spans="2:9" s="271" customFormat="1">
      <c r="B201" s="279"/>
      <c r="C201" s="279"/>
      <c r="D201" s="279"/>
      <c r="E201" s="280"/>
      <c r="F201" s="280"/>
      <c r="G201" s="261"/>
      <c r="H201" s="261"/>
      <c r="I201" s="280"/>
    </row>
    <row r="202" spans="2:9" s="271" customFormat="1">
      <c r="B202" s="279"/>
      <c r="C202" s="279"/>
      <c r="D202" s="279"/>
      <c r="E202" s="280"/>
      <c r="F202" s="280"/>
      <c r="G202" s="261"/>
      <c r="H202" s="261"/>
      <c r="I202" s="280"/>
    </row>
    <row r="203" spans="2:9" s="271" customFormat="1">
      <c r="B203" s="279"/>
      <c r="C203" s="279"/>
      <c r="D203" s="279"/>
      <c r="E203" s="280"/>
      <c r="F203" s="280"/>
      <c r="G203" s="261"/>
      <c r="H203" s="261"/>
      <c r="I203" s="280"/>
    </row>
    <row r="204" spans="2:9" s="271" customFormat="1">
      <c r="B204" s="279"/>
      <c r="C204" s="279"/>
      <c r="D204" s="279"/>
      <c r="E204" s="280"/>
      <c r="F204" s="280"/>
      <c r="G204" s="261"/>
      <c r="H204" s="261"/>
      <c r="I204" s="280"/>
    </row>
    <row r="205" spans="2:9" s="271" customFormat="1">
      <c r="B205" s="279"/>
      <c r="C205" s="279"/>
      <c r="D205" s="279"/>
      <c r="E205" s="280"/>
      <c r="F205" s="280"/>
      <c r="G205" s="261"/>
      <c r="H205" s="261"/>
      <c r="I205" s="280"/>
    </row>
    <row r="206" spans="2:9" s="271" customFormat="1">
      <c r="B206" s="279"/>
      <c r="C206" s="279"/>
      <c r="D206" s="279"/>
      <c r="E206" s="280"/>
      <c r="F206" s="280"/>
      <c r="G206" s="261"/>
      <c r="H206" s="261"/>
      <c r="I206" s="280"/>
    </row>
    <row r="207" spans="2:9" s="271" customFormat="1">
      <c r="B207" s="279"/>
      <c r="C207" s="279"/>
      <c r="D207" s="279"/>
      <c r="E207" s="280"/>
      <c r="F207" s="280"/>
      <c r="G207" s="261"/>
      <c r="H207" s="261"/>
      <c r="I207" s="280"/>
    </row>
    <row r="208" spans="2:9" s="271" customFormat="1">
      <c r="B208" s="279"/>
      <c r="C208" s="279"/>
      <c r="D208" s="279"/>
      <c r="E208" s="280"/>
      <c r="F208" s="280"/>
      <c r="G208" s="261"/>
      <c r="H208" s="261"/>
      <c r="I208" s="280"/>
    </row>
    <row r="209" spans="2:9" s="271" customFormat="1">
      <c r="B209" s="279"/>
      <c r="C209" s="279"/>
      <c r="D209" s="279"/>
      <c r="E209" s="280"/>
      <c r="F209" s="280"/>
      <c r="G209" s="261"/>
      <c r="H209" s="261"/>
      <c r="I209" s="280"/>
    </row>
    <row r="210" spans="2:9" s="271" customFormat="1">
      <c r="B210" s="279"/>
      <c r="C210" s="279"/>
      <c r="D210" s="279"/>
      <c r="E210" s="280"/>
      <c r="F210" s="280"/>
      <c r="G210" s="261"/>
      <c r="H210" s="261"/>
      <c r="I210" s="280"/>
    </row>
    <row r="211" spans="2:9" s="271" customFormat="1">
      <c r="B211" s="279"/>
      <c r="C211" s="279"/>
      <c r="D211" s="279"/>
      <c r="E211" s="280"/>
      <c r="F211" s="280"/>
      <c r="G211" s="261"/>
      <c r="H211" s="261"/>
      <c r="I211" s="280"/>
    </row>
    <row r="212" spans="2:9" s="271" customFormat="1">
      <c r="B212" s="279"/>
      <c r="C212" s="279"/>
      <c r="D212" s="279"/>
      <c r="E212" s="280"/>
      <c r="F212" s="280"/>
      <c r="G212" s="261"/>
      <c r="H212" s="261"/>
      <c r="I212" s="280"/>
    </row>
    <row r="213" spans="2:9" s="271" customFormat="1">
      <c r="B213" s="279"/>
      <c r="C213" s="279"/>
      <c r="D213" s="279"/>
      <c r="E213" s="280"/>
      <c r="F213" s="280"/>
      <c r="G213" s="261"/>
      <c r="H213" s="261"/>
      <c r="I213" s="280"/>
    </row>
    <row r="214" spans="2:9" s="271" customFormat="1">
      <c r="B214" s="279"/>
      <c r="C214" s="279"/>
      <c r="D214" s="279"/>
      <c r="E214" s="280"/>
      <c r="F214" s="280"/>
      <c r="G214" s="261"/>
      <c r="H214" s="261"/>
      <c r="I214" s="280"/>
    </row>
    <row r="215" spans="2:9" s="271" customFormat="1">
      <c r="B215" s="279"/>
      <c r="C215" s="279"/>
      <c r="D215" s="279"/>
      <c r="E215" s="280"/>
      <c r="F215" s="280"/>
      <c r="G215" s="261"/>
      <c r="H215" s="261"/>
      <c r="I215" s="280"/>
    </row>
    <row r="216" spans="2:9" s="271" customFormat="1">
      <c r="B216" s="279"/>
      <c r="C216" s="279"/>
      <c r="D216" s="279"/>
      <c r="E216" s="280"/>
      <c r="F216" s="280"/>
      <c r="G216" s="261"/>
      <c r="H216" s="261"/>
      <c r="I216" s="280"/>
    </row>
    <row r="217" spans="2:9" s="271" customFormat="1">
      <c r="B217" s="279"/>
      <c r="C217" s="279"/>
      <c r="D217" s="279"/>
      <c r="E217" s="280"/>
      <c r="F217" s="280"/>
      <c r="G217" s="261"/>
      <c r="H217" s="261"/>
      <c r="I217" s="280"/>
    </row>
    <row r="218" spans="2:9" s="271" customFormat="1">
      <c r="B218" s="279"/>
      <c r="C218" s="279"/>
      <c r="D218" s="279"/>
      <c r="E218" s="280"/>
      <c r="F218" s="280"/>
      <c r="G218" s="261"/>
      <c r="H218" s="261"/>
      <c r="I218" s="280"/>
    </row>
    <row r="219" spans="2:9" s="271" customFormat="1">
      <c r="B219" s="279"/>
      <c r="C219" s="279"/>
      <c r="D219" s="279"/>
      <c r="E219" s="280"/>
      <c r="F219" s="280"/>
      <c r="G219" s="261"/>
      <c r="H219" s="261"/>
      <c r="I219" s="280"/>
    </row>
    <row r="220" spans="2:9" s="271" customFormat="1">
      <c r="B220" s="279"/>
      <c r="C220" s="279"/>
      <c r="D220" s="279"/>
      <c r="E220" s="280"/>
      <c r="F220" s="280"/>
      <c r="G220" s="261"/>
      <c r="H220" s="261"/>
      <c r="I220" s="280"/>
    </row>
    <row r="221" spans="2:9" s="271" customFormat="1">
      <c r="B221" s="279"/>
      <c r="C221" s="279"/>
      <c r="D221" s="279"/>
      <c r="E221" s="280"/>
      <c r="F221" s="280"/>
      <c r="G221" s="261"/>
      <c r="H221" s="261"/>
      <c r="I221" s="280"/>
    </row>
    <row r="222" spans="2:9" s="271" customFormat="1">
      <c r="B222" s="279"/>
      <c r="C222" s="279"/>
      <c r="D222" s="279"/>
      <c r="E222" s="280"/>
      <c r="F222" s="280"/>
      <c r="G222" s="261"/>
      <c r="H222" s="261"/>
      <c r="I222" s="280"/>
    </row>
    <row r="223" spans="2:9" s="271" customFormat="1">
      <c r="B223" s="279"/>
      <c r="C223" s="279"/>
      <c r="D223" s="279"/>
      <c r="E223" s="280"/>
      <c r="F223" s="280"/>
      <c r="G223" s="261"/>
      <c r="H223" s="261"/>
      <c r="I223" s="280"/>
    </row>
    <row r="224" spans="2:9" s="271" customFormat="1">
      <c r="B224" s="279"/>
      <c r="C224" s="279"/>
      <c r="D224" s="279"/>
      <c r="E224" s="280"/>
      <c r="F224" s="280"/>
      <c r="G224" s="261"/>
      <c r="H224" s="261"/>
      <c r="I224" s="280"/>
    </row>
    <row r="225" spans="2:9" s="271" customFormat="1">
      <c r="B225" s="279"/>
      <c r="C225" s="279"/>
      <c r="D225" s="279"/>
      <c r="E225" s="280"/>
      <c r="F225" s="280"/>
      <c r="G225" s="261"/>
      <c r="H225" s="261"/>
      <c r="I225" s="280"/>
    </row>
    <row r="226" spans="2:9" s="271" customFormat="1">
      <c r="B226" s="279"/>
      <c r="C226" s="279"/>
      <c r="D226" s="279"/>
      <c r="E226" s="280"/>
      <c r="F226" s="280"/>
      <c r="G226" s="261"/>
      <c r="H226" s="261"/>
      <c r="I226" s="280"/>
    </row>
    <row r="227" spans="2:9" s="271" customFormat="1">
      <c r="B227" s="279"/>
      <c r="C227" s="279"/>
      <c r="D227" s="279"/>
      <c r="E227" s="280"/>
      <c r="F227" s="280"/>
      <c r="G227" s="261"/>
      <c r="H227" s="261"/>
      <c r="I227" s="280"/>
    </row>
    <row r="228" spans="2:9" s="271" customFormat="1">
      <c r="B228" s="279"/>
      <c r="C228" s="279"/>
      <c r="D228" s="279"/>
      <c r="E228" s="280"/>
      <c r="F228" s="280"/>
      <c r="G228" s="261"/>
      <c r="H228" s="261"/>
      <c r="I228" s="280"/>
    </row>
    <row r="229" spans="2:9" s="271" customFormat="1">
      <c r="B229" s="279"/>
      <c r="C229" s="279"/>
      <c r="D229" s="279"/>
      <c r="E229" s="280"/>
      <c r="F229" s="280"/>
      <c r="G229" s="261"/>
      <c r="H229" s="261"/>
      <c r="I229" s="280"/>
    </row>
    <row r="230" spans="2:9" s="271" customFormat="1">
      <c r="B230" s="279"/>
      <c r="C230" s="279"/>
      <c r="D230" s="279"/>
      <c r="E230" s="280"/>
      <c r="F230" s="280"/>
      <c r="G230" s="261"/>
      <c r="H230" s="261"/>
      <c r="I230" s="280"/>
    </row>
    <row r="231" spans="2:9" s="271" customFormat="1">
      <c r="B231" s="279"/>
      <c r="C231" s="279"/>
      <c r="D231" s="279"/>
      <c r="E231" s="280"/>
      <c r="F231" s="280"/>
      <c r="G231" s="261"/>
      <c r="H231" s="261"/>
      <c r="I231" s="280"/>
    </row>
    <row r="232" spans="2:9" s="271" customFormat="1">
      <c r="B232" s="279"/>
      <c r="C232" s="279"/>
      <c r="D232" s="279"/>
      <c r="E232" s="280"/>
      <c r="F232" s="280"/>
      <c r="G232" s="261"/>
      <c r="H232" s="261"/>
      <c r="I232" s="280"/>
    </row>
    <row r="233" spans="2:9" s="271" customFormat="1">
      <c r="B233" s="279"/>
      <c r="C233" s="279"/>
      <c r="D233" s="279"/>
      <c r="E233" s="280"/>
      <c r="F233" s="280"/>
      <c r="G233" s="261"/>
      <c r="H233" s="261"/>
      <c r="I233" s="280"/>
    </row>
    <row r="234" spans="2:9" s="271" customFormat="1">
      <c r="B234" s="279"/>
      <c r="C234" s="279"/>
      <c r="D234" s="279"/>
      <c r="E234" s="280"/>
      <c r="F234" s="280"/>
      <c r="G234" s="261"/>
      <c r="H234" s="261"/>
      <c r="I234" s="280"/>
    </row>
    <row r="235" spans="2:9" s="271" customFormat="1">
      <c r="B235" s="279"/>
      <c r="C235" s="279"/>
      <c r="D235" s="279"/>
      <c r="E235" s="280"/>
      <c r="F235" s="280"/>
      <c r="G235" s="261"/>
      <c r="H235" s="261"/>
      <c r="I235" s="280"/>
    </row>
    <row r="236" spans="2:9" s="271" customFormat="1">
      <c r="B236" s="279"/>
      <c r="C236" s="279"/>
      <c r="D236" s="279"/>
      <c r="E236" s="280"/>
      <c r="F236" s="280"/>
      <c r="G236" s="261"/>
      <c r="H236" s="261"/>
      <c r="I236" s="280"/>
    </row>
    <row r="237" spans="2:9" s="271" customFormat="1">
      <c r="B237" s="279"/>
      <c r="C237" s="279"/>
      <c r="D237" s="279"/>
      <c r="E237" s="280"/>
      <c r="F237" s="280"/>
      <c r="G237" s="261"/>
      <c r="H237" s="261"/>
      <c r="I237" s="280"/>
    </row>
    <row r="238" spans="2:9" s="271" customFormat="1">
      <c r="B238" s="279"/>
      <c r="C238" s="279"/>
      <c r="D238" s="279"/>
      <c r="E238" s="280"/>
      <c r="F238" s="280"/>
      <c r="G238" s="261"/>
      <c r="H238" s="261"/>
      <c r="I238" s="280"/>
    </row>
    <row r="239" spans="2:9" s="271" customFormat="1">
      <c r="B239" s="279"/>
      <c r="C239" s="279"/>
      <c r="D239" s="279"/>
      <c r="E239" s="280"/>
      <c r="F239" s="280"/>
      <c r="G239" s="261"/>
      <c r="H239" s="261"/>
      <c r="I239" s="280"/>
    </row>
    <row r="240" spans="2:9" s="271" customFormat="1">
      <c r="B240" s="279"/>
      <c r="C240" s="279"/>
      <c r="D240" s="279"/>
      <c r="E240" s="280"/>
      <c r="F240" s="280"/>
      <c r="G240" s="261"/>
      <c r="H240" s="261"/>
      <c r="I240" s="280"/>
    </row>
    <row r="241" spans="2:9" s="271" customFormat="1">
      <c r="B241" s="279"/>
      <c r="C241" s="279"/>
      <c r="D241" s="279"/>
      <c r="E241" s="280"/>
      <c r="F241" s="280"/>
      <c r="G241" s="261"/>
      <c r="H241" s="261"/>
      <c r="I241" s="280"/>
    </row>
    <row r="242" spans="2:9" s="271" customFormat="1">
      <c r="B242" s="279"/>
      <c r="C242" s="279"/>
      <c r="D242" s="279"/>
      <c r="E242" s="280"/>
      <c r="F242" s="280"/>
      <c r="G242" s="261"/>
      <c r="H242" s="261"/>
      <c r="I242" s="280"/>
    </row>
    <row r="243" spans="2:9" s="271" customFormat="1">
      <c r="B243" s="279"/>
      <c r="C243" s="279"/>
      <c r="D243" s="279"/>
      <c r="E243" s="280"/>
      <c r="F243" s="280"/>
      <c r="G243" s="261"/>
      <c r="H243" s="261"/>
      <c r="I243" s="280"/>
    </row>
    <row r="244" spans="2:9" s="271" customFormat="1">
      <c r="B244" s="279"/>
      <c r="C244" s="279"/>
      <c r="D244" s="279"/>
      <c r="E244" s="280"/>
      <c r="F244" s="280"/>
      <c r="G244" s="261"/>
      <c r="H244" s="261"/>
      <c r="I244" s="280"/>
    </row>
    <row r="245" spans="2:9" s="271" customFormat="1">
      <c r="B245" s="279"/>
      <c r="C245" s="279"/>
      <c r="D245" s="279"/>
      <c r="E245" s="280"/>
      <c r="F245" s="280"/>
      <c r="G245" s="261"/>
      <c r="H245" s="261"/>
      <c r="I245" s="280"/>
    </row>
    <row r="246" spans="2:9" s="271" customFormat="1">
      <c r="B246" s="279"/>
      <c r="C246" s="279"/>
      <c r="D246" s="279"/>
      <c r="E246" s="280"/>
      <c r="F246" s="280"/>
      <c r="G246" s="261"/>
      <c r="H246" s="261"/>
      <c r="I246" s="280"/>
    </row>
    <row r="247" spans="2:9" s="271" customFormat="1">
      <c r="B247" s="279"/>
      <c r="C247" s="279"/>
      <c r="D247" s="279"/>
      <c r="E247" s="280"/>
      <c r="F247" s="280"/>
      <c r="G247" s="261"/>
      <c r="H247" s="261"/>
      <c r="I247" s="280"/>
    </row>
    <row r="248" spans="2:9" s="271" customFormat="1">
      <c r="B248" s="279"/>
      <c r="C248" s="279"/>
      <c r="D248" s="279"/>
      <c r="E248" s="280"/>
      <c r="F248" s="280"/>
      <c r="G248" s="261"/>
      <c r="H248" s="261"/>
      <c r="I248" s="280"/>
    </row>
    <row r="249" spans="2:9" s="271" customFormat="1">
      <c r="B249" s="279"/>
      <c r="C249" s="279"/>
      <c r="D249" s="279"/>
      <c r="E249" s="280"/>
      <c r="F249" s="280"/>
      <c r="G249" s="261"/>
      <c r="H249" s="261"/>
      <c r="I249" s="280"/>
    </row>
    <row r="250" spans="2:9" s="271" customFormat="1">
      <c r="B250" s="279"/>
      <c r="C250" s="279"/>
      <c r="D250" s="279"/>
      <c r="E250" s="280"/>
      <c r="F250" s="280"/>
      <c r="G250" s="261"/>
      <c r="H250" s="261"/>
      <c r="I250" s="280"/>
    </row>
    <row r="251" spans="2:9" s="271" customFormat="1">
      <c r="B251" s="279"/>
      <c r="C251" s="279"/>
      <c r="D251" s="279"/>
      <c r="E251" s="280"/>
      <c r="F251" s="280"/>
      <c r="G251" s="261"/>
      <c r="H251" s="261"/>
      <c r="I251" s="280"/>
    </row>
    <row r="252" spans="2:9" s="271" customFormat="1">
      <c r="B252" s="279"/>
      <c r="C252" s="279"/>
      <c r="D252" s="279"/>
      <c r="E252" s="280"/>
      <c r="F252" s="280"/>
      <c r="G252" s="261"/>
      <c r="H252" s="261"/>
      <c r="I252" s="280"/>
    </row>
    <row r="253" spans="2:9" s="271" customFormat="1">
      <c r="B253" s="279"/>
      <c r="C253" s="279"/>
      <c r="D253" s="279"/>
      <c r="E253" s="280"/>
      <c r="F253" s="280"/>
      <c r="G253" s="261"/>
      <c r="H253" s="261"/>
      <c r="I253" s="280"/>
    </row>
    <row r="254" spans="2:9" s="271" customFormat="1">
      <c r="B254" s="279"/>
      <c r="C254" s="279"/>
      <c r="D254" s="279"/>
      <c r="E254" s="280"/>
      <c r="F254" s="280"/>
      <c r="G254" s="261"/>
      <c r="H254" s="261"/>
      <c r="I254" s="280"/>
    </row>
    <row r="255" spans="2:9" s="271" customFormat="1">
      <c r="B255" s="279"/>
      <c r="C255" s="279"/>
      <c r="D255" s="279"/>
      <c r="E255" s="280"/>
      <c r="F255" s="280"/>
      <c r="G255" s="261"/>
      <c r="H255" s="261"/>
      <c r="I255" s="280"/>
    </row>
    <row r="256" spans="2:9" s="271" customFormat="1">
      <c r="B256" s="279"/>
      <c r="C256" s="279"/>
      <c r="D256" s="279"/>
      <c r="E256" s="280"/>
      <c r="F256" s="280"/>
      <c r="G256" s="261"/>
      <c r="H256" s="261"/>
      <c r="I256" s="280"/>
    </row>
    <row r="257" spans="2:9" s="271" customFormat="1">
      <c r="B257" s="279"/>
      <c r="C257" s="279"/>
      <c r="D257" s="279"/>
      <c r="E257" s="280"/>
      <c r="F257" s="280"/>
      <c r="G257" s="261"/>
      <c r="H257" s="261"/>
      <c r="I257" s="280"/>
    </row>
    <row r="258" spans="2:9" s="271" customFormat="1">
      <c r="B258" s="279"/>
      <c r="C258" s="279"/>
      <c r="D258" s="279"/>
      <c r="E258" s="280"/>
      <c r="F258" s="280"/>
      <c r="G258" s="261"/>
      <c r="H258" s="261"/>
      <c r="I258" s="280"/>
    </row>
    <row r="259" spans="2:9" s="271" customFormat="1">
      <c r="B259" s="279"/>
      <c r="C259" s="279"/>
      <c r="D259" s="279"/>
      <c r="E259" s="280"/>
      <c r="F259" s="280"/>
      <c r="G259" s="261"/>
      <c r="H259" s="261"/>
      <c r="I259" s="280"/>
    </row>
    <row r="260" spans="2:9" s="271" customFormat="1">
      <c r="B260" s="279"/>
      <c r="C260" s="279"/>
      <c r="D260" s="279"/>
      <c r="E260" s="280"/>
      <c r="F260" s="280"/>
      <c r="G260" s="261"/>
      <c r="H260" s="261"/>
      <c r="I260" s="280"/>
    </row>
    <row r="261" spans="2:9" s="271" customFormat="1">
      <c r="B261" s="279"/>
      <c r="C261" s="279"/>
      <c r="D261" s="279"/>
      <c r="E261" s="280"/>
      <c r="F261" s="280"/>
      <c r="G261" s="261"/>
      <c r="H261" s="261"/>
      <c r="I261" s="280"/>
    </row>
    <row r="262" spans="2:9" s="271" customFormat="1">
      <c r="B262" s="279"/>
      <c r="C262" s="279"/>
      <c r="D262" s="279"/>
      <c r="E262" s="280"/>
      <c r="F262" s="280"/>
      <c r="G262" s="261"/>
      <c r="H262" s="261"/>
      <c r="I262" s="280"/>
    </row>
    <row r="263" spans="2:9" s="271" customFormat="1">
      <c r="B263" s="279"/>
      <c r="C263" s="279"/>
      <c r="D263" s="279"/>
      <c r="E263" s="280"/>
      <c r="F263" s="280"/>
      <c r="G263" s="261"/>
      <c r="H263" s="261"/>
      <c r="I263" s="280"/>
    </row>
    <row r="264" spans="2:9" s="271" customFormat="1">
      <c r="B264" s="279"/>
      <c r="C264" s="279"/>
      <c r="D264" s="279"/>
      <c r="E264" s="280"/>
      <c r="F264" s="280"/>
      <c r="G264" s="261"/>
      <c r="H264" s="261"/>
      <c r="I264" s="280"/>
    </row>
    <row r="265" spans="2:9" s="271" customFormat="1">
      <c r="B265" s="279"/>
      <c r="C265" s="279"/>
      <c r="D265" s="279"/>
      <c r="E265" s="280"/>
      <c r="F265" s="280"/>
      <c r="G265" s="261"/>
      <c r="H265" s="261"/>
      <c r="I265" s="280"/>
    </row>
    <row r="266" spans="2:9" s="271" customFormat="1">
      <c r="B266" s="279"/>
      <c r="C266" s="279"/>
      <c r="D266" s="279"/>
      <c r="E266" s="280"/>
      <c r="F266" s="280"/>
      <c r="G266" s="261"/>
      <c r="H266" s="261"/>
      <c r="I266" s="280"/>
    </row>
    <row r="267" spans="2:9" s="271" customFormat="1">
      <c r="B267" s="279"/>
      <c r="C267" s="279"/>
      <c r="D267" s="279"/>
      <c r="E267" s="280"/>
      <c r="F267" s="280"/>
      <c r="G267" s="261"/>
      <c r="H267" s="261"/>
      <c r="I267" s="280"/>
    </row>
    <row r="268" spans="2:9" s="271" customFormat="1">
      <c r="B268" s="279"/>
      <c r="C268" s="279"/>
      <c r="D268" s="279"/>
      <c r="E268" s="280"/>
      <c r="F268" s="280"/>
      <c r="G268" s="261"/>
      <c r="H268" s="261"/>
      <c r="I268" s="280"/>
    </row>
    <row r="269" spans="2:9" s="271" customFormat="1">
      <c r="B269" s="279"/>
      <c r="C269" s="279"/>
      <c r="D269" s="279"/>
      <c r="E269" s="280"/>
      <c r="F269" s="280"/>
      <c r="G269" s="261"/>
      <c r="H269" s="261"/>
      <c r="I269" s="280"/>
    </row>
    <row r="270" spans="2:9" s="271" customFormat="1">
      <c r="B270" s="279"/>
      <c r="C270" s="279"/>
      <c r="D270" s="279"/>
      <c r="E270" s="280"/>
      <c r="F270" s="280"/>
      <c r="G270" s="261"/>
      <c r="H270" s="261"/>
      <c r="I270" s="280"/>
    </row>
    <row r="271" spans="2:9" s="271" customFormat="1">
      <c r="B271" s="279"/>
      <c r="C271" s="279"/>
      <c r="D271" s="279"/>
      <c r="E271" s="280"/>
      <c r="F271" s="280"/>
      <c r="G271" s="261"/>
      <c r="H271" s="261"/>
      <c r="I271" s="280"/>
    </row>
    <row r="272" spans="2:9" s="271" customFormat="1">
      <c r="B272" s="279"/>
      <c r="C272" s="279"/>
      <c r="D272" s="279"/>
      <c r="E272" s="280"/>
      <c r="F272" s="280"/>
      <c r="G272" s="261"/>
      <c r="H272" s="261"/>
      <c r="I272" s="280"/>
    </row>
    <row r="273" spans="2:9" s="271" customFormat="1">
      <c r="B273" s="279"/>
      <c r="C273" s="279"/>
      <c r="D273" s="279"/>
      <c r="E273" s="280"/>
      <c r="F273" s="280"/>
      <c r="G273" s="261"/>
      <c r="H273" s="261"/>
      <c r="I273" s="280"/>
    </row>
    <row r="274" spans="2:9" s="271" customFormat="1">
      <c r="B274" s="279"/>
      <c r="C274" s="279"/>
      <c r="D274" s="279"/>
      <c r="E274" s="280"/>
      <c r="F274" s="280"/>
      <c r="G274" s="261"/>
      <c r="H274" s="261"/>
      <c r="I274" s="280"/>
    </row>
    <row r="275" spans="2:9" s="271" customFormat="1">
      <c r="B275" s="279"/>
      <c r="C275" s="279"/>
      <c r="D275" s="279"/>
      <c r="E275" s="280"/>
      <c r="F275" s="280"/>
      <c r="G275" s="261"/>
      <c r="H275" s="261"/>
      <c r="I275" s="280"/>
    </row>
    <row r="276" spans="2:9" s="271" customFormat="1">
      <c r="B276" s="279"/>
      <c r="C276" s="279"/>
      <c r="D276" s="279"/>
      <c r="E276" s="280"/>
      <c r="F276" s="280"/>
      <c r="G276" s="261"/>
      <c r="H276" s="261"/>
      <c r="I276" s="280"/>
    </row>
    <row r="277" spans="2:9" s="271" customFormat="1">
      <c r="B277" s="279"/>
      <c r="C277" s="279"/>
      <c r="D277" s="279"/>
      <c r="E277" s="280"/>
      <c r="F277" s="280"/>
      <c r="G277" s="261"/>
      <c r="H277" s="261"/>
      <c r="I277" s="280"/>
    </row>
    <row r="278" spans="2:9" s="271" customFormat="1">
      <c r="B278" s="279"/>
      <c r="C278" s="279"/>
      <c r="D278" s="279"/>
      <c r="E278" s="280"/>
      <c r="F278" s="280"/>
      <c r="G278" s="261"/>
      <c r="H278" s="261"/>
      <c r="I278" s="280"/>
    </row>
    <row r="279" spans="2:9" s="271" customFormat="1">
      <c r="B279" s="279"/>
      <c r="C279" s="279"/>
      <c r="D279" s="279"/>
      <c r="E279" s="280"/>
      <c r="F279" s="280"/>
      <c r="G279" s="261"/>
      <c r="H279" s="261"/>
      <c r="I279" s="280"/>
    </row>
    <row r="280" spans="2:9" s="271" customFormat="1">
      <c r="B280" s="279"/>
      <c r="C280" s="279"/>
      <c r="D280" s="279"/>
      <c r="E280" s="280"/>
      <c r="F280" s="280"/>
      <c r="G280" s="261"/>
      <c r="H280" s="261"/>
      <c r="I280" s="280"/>
    </row>
    <row r="281" spans="2:9" s="271" customFormat="1">
      <c r="B281" s="279"/>
      <c r="C281" s="279"/>
      <c r="D281" s="279"/>
      <c r="E281" s="280"/>
      <c r="F281" s="280"/>
      <c r="G281" s="261"/>
      <c r="H281" s="261"/>
      <c r="I281" s="280"/>
    </row>
    <row r="282" spans="2:9" s="271" customFormat="1">
      <c r="B282" s="279"/>
      <c r="C282" s="279"/>
      <c r="D282" s="279"/>
      <c r="E282" s="280"/>
      <c r="F282" s="280"/>
      <c r="G282" s="261"/>
      <c r="H282" s="261"/>
      <c r="I282" s="280"/>
    </row>
    <row r="283" spans="2:9" s="271" customFormat="1">
      <c r="B283" s="279"/>
      <c r="C283" s="279"/>
      <c r="D283" s="279"/>
      <c r="E283" s="280"/>
      <c r="F283" s="280"/>
      <c r="G283" s="261"/>
      <c r="H283" s="261"/>
      <c r="I283" s="280"/>
    </row>
    <row r="284" spans="2:9" s="271" customFormat="1">
      <c r="B284" s="279"/>
      <c r="C284" s="279"/>
      <c r="D284" s="279"/>
      <c r="E284" s="280"/>
      <c r="F284" s="280"/>
      <c r="G284" s="261"/>
      <c r="H284" s="261"/>
      <c r="I284" s="280"/>
    </row>
    <row r="285" spans="2:9" s="271" customFormat="1">
      <c r="B285" s="279"/>
      <c r="C285" s="279"/>
      <c r="D285" s="279"/>
      <c r="E285" s="280"/>
      <c r="F285" s="280"/>
      <c r="G285" s="261"/>
      <c r="H285" s="261"/>
      <c r="I285" s="280"/>
    </row>
    <row r="286" spans="2:9" s="271" customFormat="1">
      <c r="B286" s="279"/>
      <c r="C286" s="279"/>
      <c r="D286" s="279"/>
      <c r="E286" s="280"/>
      <c r="F286" s="280"/>
      <c r="G286" s="261"/>
      <c r="H286" s="261"/>
      <c r="I286" s="280"/>
    </row>
    <row r="287" spans="2:9" s="271" customFormat="1">
      <c r="B287" s="279"/>
      <c r="C287" s="279"/>
      <c r="D287" s="279"/>
      <c r="E287" s="280"/>
      <c r="F287" s="280"/>
      <c r="G287" s="261"/>
      <c r="H287" s="261"/>
      <c r="I287" s="280"/>
    </row>
    <row r="288" spans="2:9" s="271" customFormat="1">
      <c r="B288" s="279"/>
      <c r="C288" s="279"/>
      <c r="D288" s="279"/>
      <c r="E288" s="280"/>
      <c r="F288" s="280"/>
      <c r="G288" s="261"/>
      <c r="H288" s="261"/>
      <c r="I288" s="280"/>
    </row>
    <row r="289" spans="2:9" s="271" customFormat="1">
      <c r="B289" s="279"/>
      <c r="C289" s="279"/>
      <c r="D289" s="279"/>
      <c r="E289" s="280"/>
      <c r="F289" s="280"/>
      <c r="G289" s="261"/>
      <c r="H289" s="261"/>
      <c r="I289" s="280"/>
    </row>
    <row r="290" spans="2:9" s="271" customFormat="1">
      <c r="B290" s="279"/>
      <c r="C290" s="279"/>
      <c r="D290" s="279"/>
      <c r="E290" s="280"/>
      <c r="F290" s="280"/>
      <c r="G290" s="261"/>
      <c r="H290" s="261"/>
      <c r="I290" s="280"/>
    </row>
    <row r="291" spans="2:9" s="271" customFormat="1">
      <c r="B291" s="279"/>
      <c r="C291" s="279"/>
      <c r="D291" s="279"/>
      <c r="E291" s="280"/>
      <c r="F291" s="280"/>
      <c r="G291" s="261"/>
      <c r="H291" s="261"/>
      <c r="I291" s="280"/>
    </row>
    <row r="292" spans="2:9" s="271" customFormat="1">
      <c r="B292" s="279"/>
      <c r="C292" s="279"/>
      <c r="D292" s="279"/>
      <c r="E292" s="280"/>
      <c r="F292" s="280"/>
      <c r="G292" s="261"/>
      <c r="H292" s="261"/>
      <c r="I292" s="280"/>
    </row>
    <row r="293" spans="2:9" s="271" customFormat="1">
      <c r="B293" s="279"/>
      <c r="C293" s="279"/>
      <c r="D293" s="279"/>
      <c r="E293" s="280"/>
      <c r="F293" s="280"/>
      <c r="G293" s="261"/>
      <c r="H293" s="261"/>
      <c r="I293" s="280"/>
    </row>
    <row r="294" spans="2:9" s="271" customFormat="1">
      <c r="B294" s="279"/>
      <c r="C294" s="279"/>
      <c r="D294" s="279"/>
      <c r="E294" s="280"/>
      <c r="F294" s="280"/>
      <c r="G294" s="261"/>
      <c r="H294" s="261"/>
      <c r="I294" s="280"/>
    </row>
    <row r="295" spans="2:9" s="271" customFormat="1">
      <c r="B295" s="279"/>
      <c r="C295" s="279"/>
      <c r="D295" s="279"/>
      <c r="E295" s="280"/>
      <c r="F295" s="280"/>
      <c r="G295" s="261"/>
      <c r="H295" s="261"/>
      <c r="I295" s="280"/>
    </row>
    <row r="296" spans="2:9" s="271" customFormat="1">
      <c r="B296" s="279"/>
      <c r="C296" s="279"/>
      <c r="D296" s="279"/>
      <c r="E296" s="280"/>
      <c r="F296" s="280"/>
      <c r="G296" s="261"/>
      <c r="H296" s="261"/>
      <c r="I296" s="280"/>
    </row>
    <row r="297" spans="2:9" s="271" customFormat="1">
      <c r="B297" s="279"/>
      <c r="C297" s="279"/>
      <c r="D297" s="279"/>
      <c r="E297" s="280"/>
      <c r="F297" s="280"/>
      <c r="G297" s="261"/>
      <c r="H297" s="261"/>
      <c r="I297" s="280"/>
    </row>
    <row r="298" spans="2:9" s="271" customFormat="1">
      <c r="B298" s="279"/>
      <c r="C298" s="279"/>
      <c r="D298" s="279"/>
      <c r="E298" s="280"/>
      <c r="F298" s="280"/>
      <c r="G298" s="261"/>
      <c r="H298" s="261"/>
      <c r="I298" s="280"/>
    </row>
    <row r="299" spans="2:9" s="271" customFormat="1">
      <c r="B299" s="279"/>
      <c r="C299" s="279"/>
      <c r="D299" s="279"/>
      <c r="E299" s="280"/>
      <c r="F299" s="280"/>
      <c r="G299" s="261"/>
      <c r="H299" s="261"/>
      <c r="I299" s="280"/>
    </row>
    <row r="300" spans="2:9" s="271" customFormat="1">
      <c r="B300" s="279"/>
      <c r="C300" s="279"/>
      <c r="D300" s="279"/>
      <c r="E300" s="280"/>
      <c r="F300" s="280"/>
      <c r="G300" s="261"/>
      <c r="H300" s="261"/>
      <c r="I300" s="280"/>
    </row>
    <row r="301" spans="2:9" s="271" customFormat="1">
      <c r="B301" s="279"/>
      <c r="C301" s="279"/>
      <c r="D301" s="279"/>
      <c r="E301" s="280"/>
      <c r="F301" s="280"/>
      <c r="G301" s="261"/>
      <c r="H301" s="261"/>
      <c r="I301" s="280"/>
    </row>
    <row r="302" spans="2:9" s="271" customFormat="1">
      <c r="B302" s="279"/>
      <c r="C302" s="279"/>
      <c r="D302" s="279"/>
      <c r="E302" s="280"/>
      <c r="F302" s="280"/>
      <c r="G302" s="261"/>
      <c r="H302" s="261"/>
      <c r="I302" s="280"/>
    </row>
    <row r="303" spans="2:9" s="271" customFormat="1">
      <c r="B303" s="279"/>
      <c r="C303" s="279"/>
      <c r="D303" s="279"/>
      <c r="E303" s="280"/>
      <c r="F303" s="280"/>
      <c r="G303" s="261"/>
      <c r="H303" s="261"/>
      <c r="I303" s="280"/>
    </row>
    <row r="304" spans="2:9" s="271" customFormat="1">
      <c r="B304" s="279"/>
      <c r="C304" s="279"/>
      <c r="D304" s="279"/>
      <c r="E304" s="280"/>
      <c r="F304" s="280"/>
      <c r="G304" s="261"/>
      <c r="H304" s="261"/>
      <c r="I304" s="280"/>
    </row>
    <row r="305" spans="2:9" s="271" customFormat="1">
      <c r="B305" s="279"/>
      <c r="C305" s="279"/>
      <c r="D305" s="279"/>
      <c r="E305" s="280"/>
      <c r="F305" s="280"/>
      <c r="G305" s="261"/>
      <c r="H305" s="261"/>
      <c r="I305" s="280"/>
    </row>
    <row r="306" spans="2:9" s="271" customFormat="1">
      <c r="B306" s="279"/>
      <c r="C306" s="279"/>
      <c r="D306" s="279"/>
      <c r="E306" s="280"/>
      <c r="F306" s="280"/>
      <c r="G306" s="261"/>
      <c r="H306" s="261"/>
      <c r="I306" s="280"/>
    </row>
    <row r="307" spans="2:9" s="271" customFormat="1">
      <c r="B307" s="279"/>
      <c r="C307" s="279"/>
      <c r="D307" s="279"/>
      <c r="E307" s="280"/>
      <c r="F307" s="280"/>
      <c r="G307" s="261"/>
      <c r="H307" s="261"/>
      <c r="I307" s="280"/>
    </row>
    <row r="308" spans="2:9" s="271" customFormat="1">
      <c r="B308" s="279"/>
      <c r="C308" s="279"/>
      <c r="D308" s="279"/>
      <c r="E308" s="280"/>
      <c r="F308" s="280"/>
      <c r="G308" s="261"/>
      <c r="H308" s="261"/>
      <c r="I308" s="280"/>
    </row>
    <row r="309" spans="2:9" s="271" customFormat="1">
      <c r="B309" s="279"/>
      <c r="C309" s="279"/>
      <c r="D309" s="279"/>
      <c r="E309" s="280"/>
      <c r="F309" s="280"/>
      <c r="G309" s="261"/>
      <c r="H309" s="261"/>
      <c r="I309" s="280"/>
    </row>
    <row r="310" spans="2:9" s="271" customFormat="1">
      <c r="B310" s="279"/>
      <c r="C310" s="279"/>
      <c r="D310" s="279"/>
      <c r="E310" s="280"/>
      <c r="F310" s="280"/>
      <c r="G310" s="261"/>
      <c r="H310" s="261"/>
      <c r="I310" s="280"/>
    </row>
    <row r="311" spans="2:9" s="271" customFormat="1">
      <c r="B311" s="279"/>
      <c r="C311" s="279"/>
      <c r="D311" s="279"/>
      <c r="E311" s="280"/>
      <c r="F311" s="280"/>
      <c r="G311" s="261"/>
      <c r="H311" s="261"/>
      <c r="I311" s="280"/>
    </row>
    <row r="312" spans="2:9" s="271" customFormat="1">
      <c r="B312" s="279"/>
      <c r="C312" s="279"/>
      <c r="D312" s="279"/>
      <c r="E312" s="280"/>
      <c r="F312" s="280"/>
      <c r="G312" s="261"/>
      <c r="H312" s="261"/>
      <c r="I312" s="280"/>
    </row>
    <row r="313" spans="2:9" s="271" customFormat="1">
      <c r="B313" s="279"/>
      <c r="C313" s="279"/>
      <c r="D313" s="279"/>
      <c r="E313" s="280"/>
      <c r="F313" s="280"/>
      <c r="G313" s="261"/>
      <c r="H313" s="261"/>
      <c r="I313" s="280"/>
    </row>
    <row r="314" spans="2:9" s="271" customFormat="1">
      <c r="B314" s="279"/>
      <c r="C314" s="279"/>
      <c r="D314" s="279"/>
      <c r="E314" s="280"/>
      <c r="F314" s="280"/>
      <c r="G314" s="261"/>
      <c r="H314" s="261"/>
      <c r="I314" s="280"/>
    </row>
    <row r="315" spans="2:9" s="271" customFormat="1">
      <c r="B315" s="279"/>
      <c r="C315" s="279"/>
      <c r="D315" s="279"/>
      <c r="E315" s="280"/>
      <c r="F315" s="280"/>
      <c r="G315" s="261"/>
      <c r="H315" s="261"/>
      <c r="I315" s="280"/>
    </row>
    <row r="316" spans="2:9" s="271" customFormat="1">
      <c r="B316" s="279"/>
      <c r="C316" s="279"/>
      <c r="D316" s="279"/>
      <c r="E316" s="280"/>
      <c r="F316" s="280"/>
      <c r="G316" s="261"/>
      <c r="H316" s="261"/>
      <c r="I316" s="280"/>
    </row>
    <row r="317" spans="2:9" s="271" customFormat="1">
      <c r="B317" s="279"/>
      <c r="C317" s="279"/>
      <c r="D317" s="279"/>
      <c r="E317" s="280"/>
      <c r="F317" s="280"/>
      <c r="G317" s="261"/>
      <c r="H317" s="261"/>
      <c r="I317" s="280"/>
    </row>
    <row r="318" spans="2:9" s="271" customFormat="1">
      <c r="B318" s="279"/>
      <c r="C318" s="279"/>
      <c r="D318" s="279"/>
      <c r="E318" s="280"/>
      <c r="F318" s="280"/>
      <c r="G318" s="261"/>
      <c r="H318" s="261"/>
      <c r="I318" s="280"/>
    </row>
    <row r="319" spans="2:9" s="271" customFormat="1">
      <c r="B319" s="279"/>
      <c r="C319" s="279"/>
      <c r="D319" s="279"/>
      <c r="E319" s="280"/>
      <c r="F319" s="280"/>
      <c r="G319" s="261"/>
      <c r="H319" s="261"/>
      <c r="I319" s="280"/>
    </row>
    <row r="320" spans="2:9" s="271" customFormat="1">
      <c r="B320" s="279"/>
      <c r="C320" s="279"/>
      <c r="D320" s="279"/>
      <c r="E320" s="280"/>
      <c r="F320" s="280"/>
      <c r="G320" s="261"/>
      <c r="H320" s="261"/>
      <c r="I320" s="280"/>
    </row>
    <row r="321" spans="2:9" s="271" customFormat="1">
      <c r="B321" s="279"/>
      <c r="C321" s="279"/>
      <c r="D321" s="279"/>
      <c r="E321" s="280"/>
      <c r="F321" s="280"/>
      <c r="G321" s="261"/>
      <c r="H321" s="261"/>
      <c r="I321" s="280"/>
    </row>
    <row r="322" spans="2:9" s="271" customFormat="1">
      <c r="B322" s="279"/>
      <c r="C322" s="279"/>
      <c r="D322" s="279"/>
      <c r="E322" s="280"/>
      <c r="F322" s="280"/>
      <c r="G322" s="261"/>
      <c r="H322" s="261"/>
      <c r="I322" s="280"/>
    </row>
    <row r="323" spans="2:9" s="271" customFormat="1">
      <c r="B323" s="279"/>
      <c r="C323" s="279"/>
      <c r="D323" s="279"/>
      <c r="E323" s="280"/>
      <c r="F323" s="280"/>
      <c r="G323" s="261"/>
      <c r="H323" s="261"/>
      <c r="I323" s="280"/>
    </row>
    <row r="324" spans="2:9" s="271" customFormat="1">
      <c r="B324" s="279"/>
      <c r="C324" s="279"/>
      <c r="D324" s="279"/>
      <c r="E324" s="280"/>
      <c r="F324" s="280"/>
      <c r="G324" s="261"/>
      <c r="H324" s="261"/>
      <c r="I324" s="280"/>
    </row>
    <row r="325" spans="2:9" s="271" customFormat="1">
      <c r="B325" s="279"/>
      <c r="C325" s="279"/>
      <c r="D325" s="279"/>
      <c r="E325" s="280"/>
      <c r="F325" s="280"/>
      <c r="G325" s="261"/>
      <c r="H325" s="261"/>
      <c r="I325" s="280"/>
    </row>
    <row r="326" spans="2:9" s="271" customFormat="1">
      <c r="B326" s="279"/>
      <c r="C326" s="279"/>
      <c r="D326" s="279"/>
      <c r="E326" s="280"/>
      <c r="F326" s="280"/>
      <c r="G326" s="261"/>
      <c r="H326" s="261"/>
      <c r="I326" s="280"/>
    </row>
    <row r="327" spans="2:9" s="271" customFormat="1">
      <c r="B327" s="279"/>
      <c r="C327" s="279"/>
      <c r="D327" s="279"/>
      <c r="E327" s="280"/>
      <c r="F327" s="280"/>
      <c r="G327" s="261"/>
      <c r="H327" s="261"/>
      <c r="I327" s="280"/>
    </row>
    <row r="328" spans="2:9" s="271" customFormat="1">
      <c r="B328" s="279"/>
      <c r="C328" s="279"/>
      <c r="D328" s="279"/>
      <c r="E328" s="280"/>
      <c r="F328" s="280"/>
      <c r="G328" s="261"/>
      <c r="H328" s="261"/>
      <c r="I328" s="280"/>
    </row>
    <row r="329" spans="2:9" s="271" customFormat="1">
      <c r="B329" s="279"/>
      <c r="C329" s="279"/>
      <c r="D329" s="279"/>
      <c r="E329" s="280"/>
      <c r="F329" s="280"/>
      <c r="G329" s="261"/>
      <c r="H329" s="261"/>
      <c r="I329" s="280"/>
    </row>
    <row r="330" spans="2:9" s="271" customFormat="1">
      <c r="B330" s="279"/>
      <c r="C330" s="279"/>
      <c r="D330" s="279"/>
      <c r="E330" s="280"/>
      <c r="F330" s="280"/>
      <c r="G330" s="261"/>
      <c r="H330" s="261"/>
      <c r="I330" s="280"/>
    </row>
    <row r="331" spans="2:9" s="271" customFormat="1">
      <c r="B331" s="279"/>
      <c r="C331" s="279"/>
      <c r="D331" s="279"/>
      <c r="E331" s="280"/>
      <c r="F331" s="280"/>
      <c r="G331" s="261"/>
      <c r="H331" s="261"/>
      <c r="I331" s="280"/>
    </row>
    <row r="332" spans="2:9" s="271" customFormat="1">
      <c r="B332" s="279"/>
      <c r="C332" s="279"/>
      <c r="D332" s="279"/>
      <c r="E332" s="280"/>
      <c r="F332" s="280"/>
      <c r="G332" s="261"/>
      <c r="H332" s="261"/>
      <c r="I332" s="280"/>
    </row>
    <row r="333" spans="2:9" s="271" customFormat="1">
      <c r="B333" s="279"/>
      <c r="C333" s="279"/>
      <c r="D333" s="279"/>
      <c r="E333" s="280"/>
      <c r="F333" s="280"/>
      <c r="G333" s="261"/>
      <c r="H333" s="261"/>
      <c r="I333" s="280"/>
    </row>
    <row r="334" spans="2:9" s="271" customFormat="1">
      <c r="B334" s="279"/>
      <c r="C334" s="279"/>
      <c r="D334" s="279"/>
      <c r="E334" s="280"/>
      <c r="F334" s="280"/>
      <c r="G334" s="261"/>
      <c r="H334" s="261"/>
      <c r="I334" s="280"/>
    </row>
    <row r="335" spans="2:9" s="271" customFormat="1">
      <c r="B335" s="279"/>
      <c r="C335" s="279"/>
      <c r="D335" s="279"/>
      <c r="E335" s="280"/>
      <c r="F335" s="280"/>
      <c r="G335" s="261"/>
      <c r="H335" s="261"/>
      <c r="I335" s="280"/>
    </row>
    <row r="336" spans="2:9" s="271" customFormat="1">
      <c r="B336" s="279"/>
      <c r="C336" s="279"/>
      <c r="D336" s="279"/>
      <c r="E336" s="280"/>
      <c r="F336" s="280"/>
      <c r="G336" s="261"/>
      <c r="H336" s="261"/>
      <c r="I336" s="280"/>
    </row>
    <row r="337" spans="2:9" s="271" customFormat="1">
      <c r="B337" s="279"/>
      <c r="C337" s="279"/>
      <c r="D337" s="279"/>
      <c r="E337" s="280"/>
      <c r="F337" s="280"/>
      <c r="G337" s="261"/>
      <c r="H337" s="261"/>
      <c r="I337" s="280"/>
    </row>
    <row r="338" spans="2:9" s="271" customFormat="1">
      <c r="B338" s="279"/>
      <c r="C338" s="279"/>
      <c r="D338" s="279"/>
      <c r="E338" s="280"/>
      <c r="F338" s="280"/>
      <c r="G338" s="261"/>
      <c r="H338" s="261"/>
      <c r="I338" s="280"/>
    </row>
    <row r="339" spans="2:9" s="271" customFormat="1">
      <c r="B339" s="279"/>
      <c r="C339" s="279"/>
      <c r="D339" s="279"/>
      <c r="E339" s="280"/>
      <c r="F339" s="280"/>
      <c r="G339" s="261"/>
      <c r="H339" s="261"/>
      <c r="I339" s="280"/>
    </row>
    <row r="340" spans="2:9" s="271" customFormat="1">
      <c r="B340" s="279"/>
      <c r="C340" s="279"/>
      <c r="D340" s="279"/>
      <c r="E340" s="280"/>
      <c r="F340" s="280"/>
      <c r="G340" s="261"/>
      <c r="H340" s="261"/>
      <c r="I340" s="280"/>
    </row>
    <row r="341" spans="2:9" s="271" customFormat="1">
      <c r="B341" s="279"/>
      <c r="C341" s="279"/>
      <c r="D341" s="279"/>
      <c r="E341" s="280"/>
      <c r="F341" s="280"/>
      <c r="G341" s="261"/>
      <c r="H341" s="261"/>
      <c r="I341" s="280"/>
    </row>
    <row r="342" spans="2:9" s="271" customFormat="1">
      <c r="B342" s="279"/>
      <c r="C342" s="279"/>
      <c r="D342" s="279"/>
      <c r="E342" s="280"/>
      <c r="F342" s="280"/>
      <c r="G342" s="261"/>
      <c r="H342" s="261"/>
      <c r="I342" s="280"/>
    </row>
    <row r="343" spans="2:9" s="271" customFormat="1">
      <c r="B343" s="279"/>
      <c r="C343" s="279"/>
      <c r="D343" s="279"/>
      <c r="E343" s="280"/>
      <c r="F343" s="280"/>
      <c r="G343" s="261"/>
      <c r="H343" s="261"/>
      <c r="I343" s="280"/>
    </row>
    <row r="344" spans="2:9" s="271" customFormat="1">
      <c r="B344" s="279"/>
      <c r="C344" s="279"/>
      <c r="D344" s="279"/>
      <c r="E344" s="280"/>
      <c r="F344" s="280"/>
      <c r="G344" s="261"/>
      <c r="H344" s="261"/>
      <c r="I344" s="280"/>
    </row>
    <row r="345" spans="2:9" s="271" customFormat="1">
      <c r="B345" s="279"/>
      <c r="C345" s="279"/>
      <c r="D345" s="279"/>
      <c r="E345" s="280"/>
      <c r="F345" s="280"/>
      <c r="G345" s="261"/>
      <c r="H345" s="261"/>
      <c r="I345" s="280"/>
    </row>
    <row r="346" spans="2:9" s="271" customFormat="1">
      <c r="B346" s="279"/>
      <c r="C346" s="279"/>
      <c r="D346" s="279"/>
      <c r="E346" s="280"/>
      <c r="F346" s="280"/>
      <c r="G346" s="261"/>
      <c r="H346" s="261"/>
      <c r="I346" s="280"/>
    </row>
    <row r="347" spans="2:9" s="271" customFormat="1">
      <c r="B347" s="279"/>
      <c r="C347" s="279"/>
      <c r="D347" s="279"/>
      <c r="E347" s="280"/>
      <c r="F347" s="280"/>
      <c r="G347" s="261"/>
      <c r="H347" s="261"/>
      <c r="I347" s="280"/>
    </row>
    <row r="348" spans="2:9" s="271" customFormat="1">
      <c r="B348" s="279"/>
      <c r="C348" s="279"/>
      <c r="D348" s="279"/>
      <c r="E348" s="280"/>
      <c r="F348" s="280"/>
      <c r="G348" s="261"/>
      <c r="H348" s="261"/>
      <c r="I348" s="280"/>
    </row>
    <row r="349" spans="2:9" s="271" customFormat="1">
      <c r="B349" s="279"/>
      <c r="C349" s="279"/>
      <c r="D349" s="279"/>
      <c r="E349" s="280"/>
      <c r="F349" s="280"/>
      <c r="G349" s="261"/>
      <c r="H349" s="261"/>
      <c r="I349" s="280"/>
    </row>
    <row r="350" spans="2:9" s="271" customFormat="1">
      <c r="B350" s="279"/>
      <c r="C350" s="279"/>
      <c r="D350" s="279"/>
      <c r="E350" s="280"/>
      <c r="F350" s="280"/>
      <c r="G350" s="261"/>
      <c r="H350" s="261"/>
      <c r="I350" s="280"/>
    </row>
    <row r="351" spans="2:9" s="271" customFormat="1">
      <c r="B351" s="279"/>
      <c r="C351" s="279"/>
      <c r="D351" s="279"/>
      <c r="E351" s="280"/>
      <c r="F351" s="280"/>
      <c r="G351" s="261"/>
      <c r="H351" s="261"/>
      <c r="I351" s="280"/>
    </row>
    <row r="352" spans="2:9" s="271" customFormat="1">
      <c r="B352" s="279"/>
      <c r="C352" s="279"/>
      <c r="D352" s="279"/>
      <c r="E352" s="280"/>
      <c r="F352" s="280"/>
      <c r="G352" s="261"/>
      <c r="H352" s="261"/>
      <c r="I352" s="280"/>
    </row>
    <row r="353" spans="2:9" s="271" customFormat="1">
      <c r="B353" s="279"/>
      <c r="C353" s="279"/>
      <c r="D353" s="279"/>
      <c r="E353" s="280"/>
      <c r="F353" s="280"/>
      <c r="G353" s="261"/>
      <c r="H353" s="261"/>
      <c r="I353" s="280"/>
    </row>
    <row r="354" spans="2:9" s="271" customFormat="1">
      <c r="B354" s="279"/>
      <c r="C354" s="279"/>
      <c r="D354" s="279"/>
      <c r="E354" s="280"/>
      <c r="F354" s="280"/>
      <c r="G354" s="261"/>
      <c r="H354" s="261"/>
      <c r="I354" s="280"/>
    </row>
    <row r="355" spans="2:9" s="271" customFormat="1">
      <c r="B355" s="279"/>
      <c r="C355" s="279"/>
      <c r="D355" s="279"/>
      <c r="E355" s="280"/>
      <c r="F355" s="280"/>
      <c r="G355" s="261"/>
      <c r="H355" s="261"/>
      <c r="I355" s="280"/>
    </row>
    <row r="356" spans="2:9" s="271" customFormat="1">
      <c r="B356" s="279"/>
      <c r="C356" s="279"/>
      <c r="D356" s="279"/>
      <c r="E356" s="280"/>
      <c r="F356" s="280"/>
      <c r="G356" s="261"/>
      <c r="H356" s="261"/>
      <c r="I356" s="280"/>
    </row>
    <row r="357" spans="2:9" s="271" customFormat="1">
      <c r="B357" s="279"/>
      <c r="C357" s="279"/>
      <c r="D357" s="279"/>
      <c r="E357" s="280"/>
      <c r="F357" s="280"/>
      <c r="G357" s="261"/>
      <c r="H357" s="261"/>
      <c r="I357" s="280"/>
    </row>
    <row r="358" spans="2:9" s="271" customFormat="1">
      <c r="B358" s="279"/>
      <c r="C358" s="279"/>
      <c r="D358" s="279"/>
      <c r="E358" s="280"/>
      <c r="F358" s="280"/>
      <c r="G358" s="261"/>
      <c r="H358" s="261"/>
      <c r="I358" s="280"/>
    </row>
    <row r="359" spans="2:9" s="271" customFormat="1">
      <c r="B359" s="279"/>
      <c r="C359" s="279"/>
      <c r="D359" s="279"/>
      <c r="E359" s="280"/>
      <c r="F359" s="280"/>
      <c r="G359" s="261"/>
      <c r="H359" s="261"/>
      <c r="I359" s="280"/>
    </row>
    <row r="360" spans="2:9" s="271" customFormat="1">
      <c r="B360" s="279"/>
      <c r="C360" s="279"/>
      <c r="D360" s="279"/>
      <c r="E360" s="280"/>
      <c r="F360" s="280"/>
      <c r="G360" s="261"/>
      <c r="H360" s="261"/>
      <c r="I360" s="280"/>
    </row>
    <row r="361" spans="2:9" s="271" customFormat="1">
      <c r="B361" s="279"/>
      <c r="C361" s="279"/>
      <c r="D361" s="279"/>
      <c r="E361" s="280"/>
      <c r="F361" s="280"/>
      <c r="G361" s="261"/>
      <c r="H361" s="261"/>
      <c r="I361" s="280"/>
    </row>
    <row r="362" spans="2:9" s="271" customFormat="1">
      <c r="B362" s="279"/>
      <c r="C362" s="279"/>
      <c r="D362" s="279"/>
      <c r="E362" s="280"/>
      <c r="F362" s="280"/>
      <c r="G362" s="261"/>
      <c r="H362" s="261"/>
      <c r="I362" s="280"/>
    </row>
    <row r="363" spans="2:9" s="271" customFormat="1">
      <c r="B363" s="279"/>
      <c r="C363" s="279"/>
      <c r="D363" s="279"/>
      <c r="E363" s="280"/>
      <c r="F363" s="280"/>
      <c r="G363" s="261"/>
      <c r="H363" s="261"/>
      <c r="I363" s="280"/>
    </row>
    <row r="364" spans="2:9" s="271" customFormat="1">
      <c r="B364" s="279"/>
      <c r="C364" s="279"/>
      <c r="D364" s="279"/>
      <c r="E364" s="280"/>
      <c r="F364" s="280"/>
      <c r="G364" s="261"/>
      <c r="H364" s="261"/>
      <c r="I364" s="280"/>
    </row>
    <row r="365" spans="2:9" s="271" customFormat="1">
      <c r="B365" s="279"/>
      <c r="C365" s="279"/>
      <c r="D365" s="279"/>
      <c r="E365" s="280"/>
      <c r="F365" s="280"/>
      <c r="G365" s="261"/>
      <c r="H365" s="261"/>
      <c r="I365" s="280"/>
    </row>
    <row r="366" spans="2:9" s="271" customFormat="1">
      <c r="B366" s="279"/>
      <c r="C366" s="279"/>
      <c r="D366" s="279"/>
      <c r="E366" s="280"/>
      <c r="F366" s="280"/>
      <c r="G366" s="261"/>
      <c r="H366" s="261"/>
      <c r="I366" s="280"/>
    </row>
    <row r="367" spans="2:9" s="271" customFormat="1">
      <c r="B367" s="279"/>
      <c r="C367" s="279"/>
      <c r="D367" s="279"/>
      <c r="E367" s="280"/>
      <c r="F367" s="280"/>
      <c r="G367" s="261"/>
      <c r="H367" s="261"/>
      <c r="I367" s="280"/>
    </row>
    <row r="368" spans="2:9" s="271" customFormat="1">
      <c r="B368" s="279"/>
      <c r="C368" s="279"/>
      <c r="D368" s="279"/>
      <c r="E368" s="280"/>
      <c r="F368" s="280"/>
      <c r="G368" s="261"/>
      <c r="H368" s="261"/>
      <c r="I368" s="280"/>
    </row>
    <row r="369" spans="2:9" s="271" customFormat="1">
      <c r="B369" s="279"/>
      <c r="C369" s="279"/>
      <c r="D369" s="279"/>
      <c r="E369" s="280"/>
      <c r="F369" s="280"/>
      <c r="G369" s="261"/>
      <c r="H369" s="261"/>
      <c r="I369" s="280"/>
    </row>
    <row r="370" spans="2:9" s="271" customFormat="1">
      <c r="B370" s="279"/>
      <c r="C370" s="279"/>
      <c r="D370" s="279"/>
      <c r="E370" s="280"/>
      <c r="F370" s="280"/>
      <c r="G370" s="261"/>
      <c r="H370" s="261"/>
      <c r="I370" s="280"/>
    </row>
    <row r="371" spans="2:9" s="271" customFormat="1">
      <c r="B371" s="279"/>
      <c r="C371" s="279"/>
      <c r="D371" s="279"/>
      <c r="E371" s="280"/>
      <c r="F371" s="280"/>
      <c r="G371" s="261"/>
      <c r="H371" s="261"/>
      <c r="I371" s="280"/>
    </row>
    <row r="372" spans="2:9" s="271" customFormat="1">
      <c r="B372" s="279"/>
      <c r="C372" s="279"/>
      <c r="D372" s="279"/>
      <c r="E372" s="280"/>
      <c r="F372" s="280"/>
      <c r="G372" s="261"/>
      <c r="H372" s="261"/>
      <c r="I372" s="280"/>
    </row>
    <row r="373" spans="2:9">
      <c r="E373" s="253"/>
      <c r="F373" s="253"/>
      <c r="I373" s="253"/>
    </row>
    <row r="374" spans="2:9">
      <c r="E374" s="253"/>
      <c r="F374" s="253"/>
      <c r="I374" s="253"/>
    </row>
    <row r="375" spans="2:9">
      <c r="E375" s="253"/>
      <c r="F375" s="253"/>
      <c r="I375" s="253"/>
    </row>
    <row r="376" spans="2:9">
      <c r="E376" s="253"/>
      <c r="F376" s="253"/>
      <c r="I376" s="253"/>
    </row>
    <row r="377" spans="2:9">
      <c r="E377" s="253"/>
      <c r="F377" s="253"/>
      <c r="I377" s="253"/>
    </row>
    <row r="378" spans="2:9">
      <c r="E378" s="253"/>
      <c r="F378" s="253"/>
      <c r="I378" s="253"/>
    </row>
    <row r="379" spans="2:9">
      <c r="E379" s="253"/>
      <c r="F379" s="253"/>
      <c r="I379" s="253"/>
    </row>
    <row r="380" spans="2:9">
      <c r="E380" s="253"/>
      <c r="F380" s="253"/>
      <c r="I380" s="253"/>
    </row>
    <row r="381" spans="2:9">
      <c r="E381" s="253"/>
      <c r="F381" s="253"/>
      <c r="I381" s="253"/>
    </row>
    <row r="382" spans="2:9">
      <c r="E382" s="253"/>
      <c r="F382" s="253"/>
      <c r="I382" s="253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172"/>
  <sheetViews>
    <sheetView topLeftCell="A49" workbookViewId="0">
      <selection activeCell="D62" sqref="D62"/>
    </sheetView>
  </sheetViews>
  <sheetFormatPr defaultRowHeight="13.2"/>
  <cols>
    <col min="1" max="1" width="4.109375" bestFit="1" customWidth="1"/>
    <col min="2" max="2" width="14.33203125" style="230" customWidth="1"/>
    <col min="3" max="3" width="16.77734375" style="230" customWidth="1"/>
    <col min="4" max="4" width="16.6640625" style="230" bestFit="1" customWidth="1"/>
    <col min="5" max="5" width="18.77734375" bestFit="1" customWidth="1"/>
    <col min="6" max="6" width="17.6640625" bestFit="1" customWidth="1"/>
    <col min="7" max="7" width="18.77734375" bestFit="1" customWidth="1"/>
    <col min="8" max="8" width="16.6640625" bestFit="1" customWidth="1"/>
    <col min="9" max="9" width="15.6640625" bestFit="1" customWidth="1"/>
    <col min="10" max="10" width="13" hidden="1" customWidth="1"/>
    <col min="11" max="12" width="14.109375" hidden="1" customWidth="1"/>
    <col min="13" max="21" width="15.6640625" bestFit="1" customWidth="1"/>
    <col min="22" max="22" width="14.109375" bestFit="1" customWidth="1"/>
    <col min="25" max="25" width="16.6640625" bestFit="1" customWidth="1"/>
  </cols>
  <sheetData>
    <row r="1" spans="1:25" hidden="1">
      <c r="D1" s="200">
        <v>10210204</v>
      </c>
      <c r="E1" s="200">
        <f>D3-D1</f>
        <v>789796</v>
      </c>
    </row>
    <row r="2" spans="1:25" ht="13.8">
      <c r="C2" s="315" t="s">
        <v>140</v>
      </c>
    </row>
    <row r="3" spans="1:25">
      <c r="B3" s="230" t="s">
        <v>138</v>
      </c>
      <c r="D3" s="316">
        <v>11000000</v>
      </c>
      <c r="J3">
        <v>2019</v>
      </c>
      <c r="K3">
        <f>J3+1</f>
        <v>2020</v>
      </c>
      <c r="L3">
        <f t="shared" ref="L3:V3" si="0">K3+1</f>
        <v>2021</v>
      </c>
      <c r="M3">
        <f t="shared" si="0"/>
        <v>2022</v>
      </c>
      <c r="N3">
        <f t="shared" si="0"/>
        <v>2023</v>
      </c>
      <c r="O3">
        <f t="shared" si="0"/>
        <v>2024</v>
      </c>
      <c r="P3">
        <f t="shared" si="0"/>
        <v>2025</v>
      </c>
      <c r="Q3">
        <f t="shared" si="0"/>
        <v>2026</v>
      </c>
      <c r="R3">
        <f t="shared" si="0"/>
        <v>2027</v>
      </c>
      <c r="S3">
        <f t="shared" si="0"/>
        <v>2028</v>
      </c>
      <c r="T3">
        <f t="shared" si="0"/>
        <v>2029</v>
      </c>
      <c r="U3">
        <f t="shared" si="0"/>
        <v>2030</v>
      </c>
      <c r="V3">
        <f t="shared" si="0"/>
        <v>2031</v>
      </c>
    </row>
    <row r="4" spans="1:25">
      <c r="B4" s="230" t="s">
        <v>32</v>
      </c>
      <c r="D4" s="311">
        <f>D5+D6</f>
        <v>7.0900000000000005E-2</v>
      </c>
      <c r="I4" t="s">
        <v>58</v>
      </c>
      <c r="J4" s="200">
        <f>H23</f>
        <v>0</v>
      </c>
      <c r="K4" s="200">
        <f>H35</f>
        <v>0</v>
      </c>
      <c r="L4" s="200">
        <f>H47</f>
        <v>595595.2333333334</v>
      </c>
      <c r="M4" s="200">
        <f>H59</f>
        <v>1158566.8800000001</v>
      </c>
      <c r="N4" s="200">
        <f>H71</f>
        <v>1158566.8800000001</v>
      </c>
      <c r="O4" s="200">
        <f>H83</f>
        <v>1158566.8800000001</v>
      </c>
      <c r="P4" s="200">
        <f>H95</f>
        <v>1158566.8800000001</v>
      </c>
      <c r="Q4" s="200">
        <f>H107</f>
        <v>1158566.8800000001</v>
      </c>
      <c r="R4" s="200">
        <f>H119</f>
        <v>1158566.8800000001</v>
      </c>
      <c r="S4" s="200">
        <f>H131</f>
        <v>1158566.8800000001</v>
      </c>
      <c r="T4" s="200">
        <f>H143</f>
        <v>1092767</v>
      </c>
      <c r="U4" s="200">
        <f>H155</f>
        <v>961167.24000000011</v>
      </c>
      <c r="V4" s="200">
        <f>H164</f>
        <v>640778.3600000001</v>
      </c>
      <c r="W4" s="200"/>
      <c r="X4" s="200"/>
      <c r="Y4" s="200">
        <f>SUM(J4:X4)</f>
        <v>11400275.993333334</v>
      </c>
    </row>
    <row r="5" spans="1:25">
      <c r="B5" s="230" t="s">
        <v>146</v>
      </c>
      <c r="D5" s="311">
        <f>'5.credit refinan cec 10.5mil'!E6</f>
        <v>6.0999999999999999E-2</v>
      </c>
      <c r="I5" t="s">
        <v>20</v>
      </c>
      <c r="J5" s="200">
        <f>I23</f>
        <v>0</v>
      </c>
      <c r="K5" s="200">
        <f>I35</f>
        <v>126438.33333333334</v>
      </c>
      <c r="L5" s="200">
        <f>I47</f>
        <v>583997.45539132413</v>
      </c>
      <c r="M5" s="200">
        <f>I59</f>
        <v>732581.567327064</v>
      </c>
      <c r="N5" s="200">
        <f>I71</f>
        <v>649298.30898239708</v>
      </c>
      <c r="O5" s="200">
        <f>I83</f>
        <v>567651.83669176081</v>
      </c>
      <c r="P5" s="200">
        <f>I95</f>
        <v>482731.79229306342</v>
      </c>
      <c r="Q5" s="200">
        <f>I107</f>
        <v>399448.53394839662</v>
      </c>
      <c r="R5" s="200">
        <f>I119</f>
        <v>316165.27560372971</v>
      </c>
      <c r="S5" s="200">
        <f>I131</f>
        <v>233606.11007096004</v>
      </c>
      <c r="T5" s="200">
        <f>I143</f>
        <v>150194.86927170708</v>
      </c>
      <c r="U5" s="200">
        <f>I155</f>
        <v>77580.042484787627</v>
      </c>
      <c r="V5" s="200">
        <f>I164</f>
        <v>13313.861391588041</v>
      </c>
      <c r="W5" s="200"/>
      <c r="X5" s="200"/>
      <c r="Y5" s="200">
        <f>SUM(J5:X5)</f>
        <v>4333007.9867901122</v>
      </c>
    </row>
    <row r="6" spans="1:25">
      <c r="B6" s="230" t="s">
        <v>22</v>
      </c>
      <c r="D6" s="311">
        <v>9.9000000000000008E-3</v>
      </c>
    </row>
    <row r="7" spans="1:25">
      <c r="B7" s="230" t="s">
        <v>17</v>
      </c>
    </row>
    <row r="9" spans="1:25" ht="13.8" thickBot="1"/>
    <row r="10" spans="1:25" ht="26.4">
      <c r="B10" s="317" t="s">
        <v>98</v>
      </c>
      <c r="C10" s="318" t="s">
        <v>141</v>
      </c>
      <c r="D10" s="318" t="s">
        <v>36</v>
      </c>
      <c r="E10" s="319" t="s">
        <v>142</v>
      </c>
      <c r="F10" s="318" t="s">
        <v>32</v>
      </c>
      <c r="G10" s="320" t="s">
        <v>40</v>
      </c>
    </row>
    <row r="11" spans="1:25">
      <c r="B11" s="321">
        <v>1</v>
      </c>
      <c r="C11" s="322">
        <v>2</v>
      </c>
      <c r="D11" s="322">
        <v>3</v>
      </c>
      <c r="E11" s="323">
        <v>4</v>
      </c>
      <c r="F11" s="322">
        <v>5</v>
      </c>
      <c r="G11" s="324" t="s">
        <v>143</v>
      </c>
    </row>
    <row r="12" spans="1:25" hidden="1">
      <c r="B12" s="325">
        <v>43496</v>
      </c>
      <c r="G12" s="326"/>
    </row>
    <row r="13" spans="1:25" hidden="1">
      <c r="B13" s="325">
        <f>EOMONTH(B12,1)</f>
        <v>43524</v>
      </c>
      <c r="G13" s="326"/>
    </row>
    <row r="14" spans="1:25" hidden="1">
      <c r="B14" s="325">
        <f t="shared" ref="B14:B77" si="1">EOMONTH(B13,1)</f>
        <v>43555</v>
      </c>
      <c r="D14" s="327"/>
      <c r="E14" s="327"/>
      <c r="F14" s="327"/>
      <c r="G14" s="328"/>
    </row>
    <row r="15" spans="1:25" hidden="1">
      <c r="B15" s="325">
        <f t="shared" si="1"/>
        <v>43585</v>
      </c>
      <c r="D15" s="327"/>
      <c r="E15" s="327"/>
      <c r="F15" s="327"/>
      <c r="G15" s="328"/>
    </row>
    <row r="16" spans="1:25" hidden="1">
      <c r="A16">
        <v>0</v>
      </c>
      <c r="B16" s="329">
        <f t="shared" si="1"/>
        <v>43616</v>
      </c>
      <c r="C16" s="234"/>
      <c r="D16" s="232"/>
      <c r="E16" s="232"/>
      <c r="F16" s="232"/>
      <c r="G16" s="239">
        <f>E16+F16</f>
        <v>0</v>
      </c>
    </row>
    <row r="17" spans="1:9" s="56" customFormat="1" hidden="1">
      <c r="A17" s="56">
        <v>1</v>
      </c>
      <c r="B17" s="330">
        <f t="shared" si="1"/>
        <v>43646</v>
      </c>
      <c r="C17" s="331"/>
      <c r="D17" s="331">
        <f>C17</f>
        <v>0</v>
      </c>
      <c r="E17" s="331"/>
      <c r="F17" s="331">
        <v>0</v>
      </c>
      <c r="G17" s="332">
        <f t="shared" ref="G17:G80" si="2">E17+F17</f>
        <v>0</v>
      </c>
    </row>
    <row r="18" spans="1:9" s="56" customFormat="1" hidden="1">
      <c r="A18" s="56">
        <f t="shared" ref="A18:A81" si="3">A17+1</f>
        <v>2</v>
      </c>
      <c r="B18" s="330">
        <f t="shared" si="1"/>
        <v>43677</v>
      </c>
      <c r="C18" s="331"/>
      <c r="D18" s="331">
        <f>D17+C18</f>
        <v>0</v>
      </c>
      <c r="E18" s="331"/>
      <c r="F18" s="331">
        <f>(B18-B17)*$D$4*D18/360</f>
        <v>0</v>
      </c>
      <c r="G18" s="332">
        <f t="shared" si="2"/>
        <v>0</v>
      </c>
    </row>
    <row r="19" spans="1:9" s="56" customFormat="1" hidden="1">
      <c r="A19" s="56">
        <f t="shared" si="3"/>
        <v>3</v>
      </c>
      <c r="B19" s="330">
        <f t="shared" si="1"/>
        <v>43708</v>
      </c>
      <c r="C19" s="331"/>
      <c r="D19" s="331">
        <f t="shared" ref="D19:D41" si="4">D18+C19</f>
        <v>0</v>
      </c>
      <c r="E19" s="331"/>
      <c r="F19" s="331">
        <f t="shared" ref="F19:F35" si="5">(B19-B18)*$D$4*D19/360</f>
        <v>0</v>
      </c>
      <c r="G19" s="333">
        <f t="shared" si="2"/>
        <v>0</v>
      </c>
    </row>
    <row r="20" spans="1:9" s="56" customFormat="1" hidden="1">
      <c r="A20" s="56">
        <f t="shared" si="3"/>
        <v>4</v>
      </c>
      <c r="B20" s="330">
        <f t="shared" si="1"/>
        <v>43738</v>
      </c>
      <c r="C20" s="331"/>
      <c r="D20" s="331">
        <f t="shared" si="4"/>
        <v>0</v>
      </c>
      <c r="E20" s="331"/>
      <c r="F20" s="331">
        <f t="shared" si="5"/>
        <v>0</v>
      </c>
      <c r="G20" s="333">
        <f t="shared" si="2"/>
        <v>0</v>
      </c>
    </row>
    <row r="21" spans="1:9" s="56" customFormat="1" hidden="1">
      <c r="A21" s="56">
        <f t="shared" si="3"/>
        <v>5</v>
      </c>
      <c r="B21" s="330">
        <f t="shared" si="1"/>
        <v>43769</v>
      </c>
      <c r="C21" s="331"/>
      <c r="D21" s="331">
        <f t="shared" si="4"/>
        <v>0</v>
      </c>
      <c r="E21" s="331"/>
      <c r="F21" s="331">
        <f t="shared" si="5"/>
        <v>0</v>
      </c>
      <c r="G21" s="333">
        <f t="shared" si="2"/>
        <v>0</v>
      </c>
    </row>
    <row r="22" spans="1:9" s="56" customFormat="1" hidden="1">
      <c r="A22" s="56">
        <f t="shared" si="3"/>
        <v>6</v>
      </c>
      <c r="B22" s="330">
        <f t="shared" si="1"/>
        <v>43799</v>
      </c>
      <c r="C22" s="331"/>
      <c r="D22" s="331">
        <f t="shared" si="4"/>
        <v>0</v>
      </c>
      <c r="E22" s="331"/>
      <c r="F22" s="331">
        <f t="shared" si="5"/>
        <v>0</v>
      </c>
      <c r="G22" s="333">
        <f t="shared" si="2"/>
        <v>0</v>
      </c>
    </row>
    <row r="23" spans="1:9" s="56" customFormat="1" hidden="1">
      <c r="A23" s="56">
        <f t="shared" si="3"/>
        <v>7</v>
      </c>
      <c r="B23" s="334">
        <f t="shared" si="1"/>
        <v>43830</v>
      </c>
      <c r="C23" s="335"/>
      <c r="D23" s="335">
        <f t="shared" si="4"/>
        <v>0</v>
      </c>
      <c r="E23" s="335"/>
      <c r="F23" s="335">
        <f t="shared" si="5"/>
        <v>0</v>
      </c>
      <c r="G23" s="336">
        <f t="shared" si="2"/>
        <v>0</v>
      </c>
      <c r="H23" s="202">
        <f>SUM(E18:E23)</f>
        <v>0</v>
      </c>
      <c r="I23" s="202">
        <f>SUM(F19:F23)</f>
        <v>0</v>
      </c>
    </row>
    <row r="24" spans="1:9" s="56" customFormat="1" hidden="1">
      <c r="A24" s="56">
        <f t="shared" si="3"/>
        <v>8</v>
      </c>
      <c r="B24" s="330">
        <f t="shared" si="1"/>
        <v>43861</v>
      </c>
      <c r="C24" s="331"/>
      <c r="D24" s="331">
        <f t="shared" si="4"/>
        <v>0</v>
      </c>
      <c r="E24" s="331"/>
      <c r="F24" s="331">
        <f t="shared" si="5"/>
        <v>0</v>
      </c>
      <c r="G24" s="333">
        <f t="shared" si="2"/>
        <v>0</v>
      </c>
      <c r="H24" s="202"/>
      <c r="I24" s="202"/>
    </row>
    <row r="25" spans="1:9" s="56" customFormat="1" hidden="1">
      <c r="A25" s="56">
        <f t="shared" si="3"/>
        <v>9</v>
      </c>
      <c r="B25" s="330">
        <f t="shared" si="1"/>
        <v>43890</v>
      </c>
      <c r="C25" s="331"/>
      <c r="D25" s="331">
        <f t="shared" si="4"/>
        <v>0</v>
      </c>
      <c r="E25" s="331"/>
      <c r="F25" s="331">
        <f t="shared" si="5"/>
        <v>0</v>
      </c>
      <c r="G25" s="333">
        <f t="shared" si="2"/>
        <v>0</v>
      </c>
      <c r="H25" s="202"/>
      <c r="I25" s="202"/>
    </row>
    <row r="26" spans="1:9" s="56" customFormat="1" hidden="1">
      <c r="A26" s="56">
        <f t="shared" si="3"/>
        <v>10</v>
      </c>
      <c r="B26" s="330">
        <f t="shared" si="1"/>
        <v>43921</v>
      </c>
      <c r="C26" s="331"/>
      <c r="D26" s="331">
        <f t="shared" si="4"/>
        <v>0</v>
      </c>
      <c r="E26" s="331"/>
      <c r="F26" s="331">
        <f t="shared" si="5"/>
        <v>0</v>
      </c>
      <c r="G26" s="333">
        <f t="shared" si="2"/>
        <v>0</v>
      </c>
      <c r="H26" s="202"/>
      <c r="I26" s="202"/>
    </row>
    <row r="27" spans="1:9" s="56" customFormat="1" hidden="1">
      <c r="A27" s="56">
        <f t="shared" si="3"/>
        <v>11</v>
      </c>
      <c r="B27" s="330">
        <f t="shared" si="1"/>
        <v>43951</v>
      </c>
      <c r="C27" s="331">
        <v>2000000</v>
      </c>
      <c r="D27" s="331">
        <f t="shared" si="4"/>
        <v>2000000</v>
      </c>
      <c r="E27" s="331"/>
      <c r="F27" s="331">
        <f>(B27-B26)*$D$4*D27/360</f>
        <v>11816.666666666666</v>
      </c>
      <c r="G27" s="333">
        <f t="shared" si="2"/>
        <v>11816.666666666666</v>
      </c>
      <c r="H27" s="202"/>
      <c r="I27" s="202"/>
    </row>
    <row r="28" spans="1:9" s="56" customFormat="1" hidden="1">
      <c r="A28" s="56">
        <f t="shared" si="3"/>
        <v>12</v>
      </c>
      <c r="B28" s="330">
        <f t="shared" si="1"/>
        <v>43982</v>
      </c>
      <c r="C28" s="331"/>
      <c r="D28" s="331">
        <f t="shared" si="4"/>
        <v>2000000</v>
      </c>
      <c r="E28" s="331"/>
      <c r="F28" s="331">
        <f t="shared" si="5"/>
        <v>12210.555555555555</v>
      </c>
      <c r="G28" s="333">
        <f t="shared" si="2"/>
        <v>12210.555555555555</v>
      </c>
      <c r="H28" s="202"/>
      <c r="I28" s="202"/>
    </row>
    <row r="29" spans="1:9" s="56" customFormat="1" hidden="1">
      <c r="A29" s="56">
        <f t="shared" si="3"/>
        <v>13</v>
      </c>
      <c r="B29" s="330">
        <f t="shared" si="1"/>
        <v>44012</v>
      </c>
      <c r="C29" s="331"/>
      <c r="D29" s="331">
        <f t="shared" si="4"/>
        <v>2000000</v>
      </c>
      <c r="E29" s="331"/>
      <c r="F29" s="331">
        <f t="shared" si="5"/>
        <v>11816.666666666666</v>
      </c>
      <c r="G29" s="333">
        <f t="shared" si="2"/>
        <v>11816.666666666666</v>
      </c>
      <c r="H29" s="202"/>
      <c r="I29" s="202"/>
    </row>
    <row r="30" spans="1:9" s="56" customFormat="1" hidden="1">
      <c r="A30" s="56">
        <f t="shared" si="3"/>
        <v>14</v>
      </c>
      <c r="B30" s="330">
        <f t="shared" si="1"/>
        <v>44043</v>
      </c>
      <c r="C30" s="331"/>
      <c r="D30" s="331">
        <f t="shared" si="4"/>
        <v>2000000</v>
      </c>
      <c r="E30" s="331"/>
      <c r="F30" s="331">
        <f t="shared" si="5"/>
        <v>12210.555555555555</v>
      </c>
      <c r="G30" s="333">
        <f t="shared" si="2"/>
        <v>12210.555555555555</v>
      </c>
      <c r="H30" s="202"/>
      <c r="I30" s="202"/>
    </row>
    <row r="31" spans="1:9" s="56" customFormat="1" hidden="1">
      <c r="A31" s="56">
        <f t="shared" si="3"/>
        <v>15</v>
      </c>
      <c r="B31" s="330">
        <f t="shared" si="1"/>
        <v>44074</v>
      </c>
      <c r="C31" s="331"/>
      <c r="D31" s="331">
        <f t="shared" si="4"/>
        <v>2000000</v>
      </c>
      <c r="E31" s="331"/>
      <c r="F31" s="331">
        <f t="shared" si="5"/>
        <v>12210.555555555555</v>
      </c>
      <c r="G31" s="333">
        <f t="shared" si="2"/>
        <v>12210.555555555555</v>
      </c>
      <c r="H31" s="202"/>
      <c r="I31" s="202"/>
    </row>
    <row r="32" spans="1:9" s="56" customFormat="1" hidden="1">
      <c r="A32" s="56">
        <f t="shared" si="3"/>
        <v>16</v>
      </c>
      <c r="B32" s="330">
        <f t="shared" si="1"/>
        <v>44104</v>
      </c>
      <c r="C32" s="331"/>
      <c r="D32" s="331">
        <f t="shared" si="4"/>
        <v>2000000</v>
      </c>
      <c r="E32" s="331"/>
      <c r="F32" s="331">
        <f t="shared" si="5"/>
        <v>11816.666666666666</v>
      </c>
      <c r="G32" s="333">
        <f t="shared" si="2"/>
        <v>11816.666666666666</v>
      </c>
      <c r="H32" s="202"/>
      <c r="I32" s="202"/>
    </row>
    <row r="33" spans="1:9" s="56" customFormat="1" hidden="1">
      <c r="A33" s="56">
        <f t="shared" si="3"/>
        <v>17</v>
      </c>
      <c r="B33" s="330">
        <f t="shared" si="1"/>
        <v>44135</v>
      </c>
      <c r="C33" s="331">
        <v>1000000</v>
      </c>
      <c r="D33" s="331">
        <f>D32+C33</f>
        <v>3000000</v>
      </c>
      <c r="E33" s="331"/>
      <c r="F33" s="331">
        <f>(B33-B32)*$D$4*D33/360</f>
        <v>18315.833333333336</v>
      </c>
      <c r="G33" s="333">
        <f t="shared" si="2"/>
        <v>18315.833333333336</v>
      </c>
      <c r="H33" s="202"/>
      <c r="I33" s="202"/>
    </row>
    <row r="34" spans="1:9" s="56" customFormat="1" hidden="1">
      <c r="A34" s="56">
        <f t="shared" si="3"/>
        <v>18</v>
      </c>
      <c r="B34" s="330">
        <f t="shared" si="1"/>
        <v>44165</v>
      </c>
      <c r="C34" s="337"/>
      <c r="D34" s="331">
        <f>D33+C34-E33</f>
        <v>3000000</v>
      </c>
      <c r="E34" s="331"/>
      <c r="F34" s="331">
        <f t="shared" si="5"/>
        <v>17725.000000000004</v>
      </c>
      <c r="G34" s="333">
        <f t="shared" si="2"/>
        <v>17725.000000000004</v>
      </c>
      <c r="H34" s="202"/>
      <c r="I34" s="202"/>
    </row>
    <row r="35" spans="1:9" s="56" customFormat="1" hidden="1">
      <c r="A35" s="56">
        <f t="shared" si="3"/>
        <v>19</v>
      </c>
      <c r="B35" s="334">
        <f t="shared" si="1"/>
        <v>44196</v>
      </c>
      <c r="C35" s="338"/>
      <c r="D35" s="335">
        <f t="shared" si="4"/>
        <v>3000000</v>
      </c>
      <c r="E35" s="335"/>
      <c r="F35" s="335">
        <f t="shared" si="5"/>
        <v>18315.833333333336</v>
      </c>
      <c r="G35" s="336">
        <f t="shared" si="2"/>
        <v>18315.833333333336</v>
      </c>
      <c r="H35" s="202">
        <f>SUM(E24:E35)</f>
        <v>0</v>
      </c>
      <c r="I35" s="202">
        <f>SUM(F24:F35)</f>
        <v>126438.33333333334</v>
      </c>
    </row>
    <row r="36" spans="1:9" s="56" customFormat="1">
      <c r="A36" s="56">
        <f t="shared" si="3"/>
        <v>20</v>
      </c>
      <c r="B36" s="330">
        <f t="shared" si="1"/>
        <v>44227</v>
      </c>
      <c r="C36" s="337"/>
      <c r="D36" s="331">
        <f t="shared" si="4"/>
        <v>3000000</v>
      </c>
      <c r="E36" s="331"/>
      <c r="F36" s="331">
        <f>(B36-B35)*D36*$D$4/360</f>
        <v>18315.833333333332</v>
      </c>
      <c r="G36" s="333">
        <f t="shared" si="2"/>
        <v>18315.833333333332</v>
      </c>
      <c r="H36" s="202"/>
      <c r="I36" s="202"/>
    </row>
    <row r="37" spans="1:9" s="56" customFormat="1">
      <c r="A37" s="56">
        <f t="shared" si="3"/>
        <v>21</v>
      </c>
      <c r="B37" s="330">
        <f t="shared" si="1"/>
        <v>44255</v>
      </c>
      <c r="C37" s="337"/>
      <c r="D37" s="331">
        <f t="shared" si="4"/>
        <v>3000000</v>
      </c>
      <c r="E37" s="331"/>
      <c r="F37" s="331">
        <f t="shared" ref="F37:F100" si="6">(B37-B36)*D37*$D$4/360</f>
        <v>16543.333333333332</v>
      </c>
      <c r="G37" s="333">
        <f t="shared" si="2"/>
        <v>16543.333333333332</v>
      </c>
      <c r="H37" s="202"/>
      <c r="I37" s="202"/>
    </row>
    <row r="38" spans="1:9" s="56" customFormat="1">
      <c r="A38" s="56">
        <f t="shared" si="3"/>
        <v>22</v>
      </c>
      <c r="B38" s="330">
        <f t="shared" si="1"/>
        <v>44286</v>
      </c>
      <c r="C38" s="337"/>
      <c r="D38" s="331">
        <f t="shared" si="4"/>
        <v>3000000</v>
      </c>
      <c r="E38" s="331"/>
      <c r="F38" s="331">
        <f t="shared" si="6"/>
        <v>18315.833333333332</v>
      </c>
      <c r="G38" s="333">
        <f t="shared" si="2"/>
        <v>18315.833333333332</v>
      </c>
      <c r="H38" s="202"/>
      <c r="I38" s="202"/>
    </row>
    <row r="39" spans="1:9" s="56" customFormat="1">
      <c r="A39" s="56">
        <f t="shared" si="3"/>
        <v>23</v>
      </c>
      <c r="B39" s="330">
        <f t="shared" si="1"/>
        <v>44316</v>
      </c>
      <c r="C39" s="331">
        <f>7000000</f>
        <v>7000000</v>
      </c>
      <c r="D39" s="331">
        <f t="shared" si="4"/>
        <v>10000000</v>
      </c>
      <c r="E39" s="331"/>
      <c r="F39" s="331">
        <f t="shared" si="6"/>
        <v>59083.333333333336</v>
      </c>
      <c r="G39" s="333">
        <f t="shared" si="2"/>
        <v>59083.333333333336</v>
      </c>
      <c r="H39" s="202"/>
      <c r="I39" s="202"/>
    </row>
    <row r="40" spans="1:9" s="56" customFormat="1">
      <c r="A40" s="56">
        <f>A39+1</f>
        <v>24</v>
      </c>
      <c r="B40" s="330">
        <f t="shared" si="1"/>
        <v>44347</v>
      </c>
      <c r="C40" s="337"/>
      <c r="D40" s="331">
        <f t="shared" si="4"/>
        <v>10000000</v>
      </c>
      <c r="E40" s="331">
        <v>0</v>
      </c>
      <c r="F40" s="331">
        <f t="shared" si="6"/>
        <v>61052.777777777781</v>
      </c>
      <c r="G40" s="333">
        <f t="shared" si="2"/>
        <v>61052.777777777781</v>
      </c>
      <c r="H40" s="202"/>
      <c r="I40" s="202"/>
    </row>
    <row r="41" spans="1:9" s="56" customFormat="1">
      <c r="A41" s="56">
        <f t="shared" si="3"/>
        <v>25</v>
      </c>
      <c r="B41" s="330">
        <f t="shared" si="1"/>
        <v>44377</v>
      </c>
      <c r="C41" s="337"/>
      <c r="D41" s="331">
        <f t="shared" si="4"/>
        <v>10000000</v>
      </c>
      <c r="E41" s="331">
        <f>D1/12/10</f>
        <v>85085.03333333334</v>
      </c>
      <c r="F41" s="331">
        <f>(B41-B40)*D41*$D$4/360</f>
        <v>59083.333333333336</v>
      </c>
      <c r="G41" s="333">
        <f t="shared" si="2"/>
        <v>144168.36666666667</v>
      </c>
      <c r="H41" s="202"/>
      <c r="I41" s="202"/>
    </row>
    <row r="42" spans="1:9" s="56" customFormat="1">
      <c r="A42" s="56">
        <f t="shared" si="3"/>
        <v>26</v>
      </c>
      <c r="B42" s="330">
        <f t="shared" si="1"/>
        <v>44408</v>
      </c>
      <c r="C42" s="337"/>
      <c r="D42" s="331">
        <f>D41-E41</f>
        <v>9914914.9666666668</v>
      </c>
      <c r="E42" s="331">
        <f t="shared" ref="E42:E105" si="7">E41</f>
        <v>85085.03333333334</v>
      </c>
      <c r="F42" s="331">
        <f>(B42-B41)*D42*$D$4/360</f>
        <v>60533.31001454631</v>
      </c>
      <c r="G42" s="333">
        <f t="shared" si="2"/>
        <v>145618.34334787965</v>
      </c>
      <c r="H42" s="202"/>
      <c r="I42" s="202"/>
    </row>
    <row r="43" spans="1:9" s="56" customFormat="1">
      <c r="A43" s="56">
        <f t="shared" si="3"/>
        <v>27</v>
      </c>
      <c r="B43" s="330">
        <f t="shared" si="1"/>
        <v>44439</v>
      </c>
      <c r="C43" s="337"/>
      <c r="D43" s="331">
        <f t="shared" ref="D43:D106" si="8">D42-E42</f>
        <v>9829829.9333333336</v>
      </c>
      <c r="E43" s="331">
        <f t="shared" si="7"/>
        <v>85085.03333333334</v>
      </c>
      <c r="F43" s="331">
        <f t="shared" si="6"/>
        <v>60013.842251314825</v>
      </c>
      <c r="G43" s="333">
        <f t="shared" si="2"/>
        <v>145098.87558464817</v>
      </c>
      <c r="H43" s="202"/>
      <c r="I43" s="202"/>
    </row>
    <row r="44" spans="1:9" s="56" customFormat="1">
      <c r="A44" s="56">
        <f t="shared" si="3"/>
        <v>28</v>
      </c>
      <c r="B44" s="330">
        <f t="shared" si="1"/>
        <v>44469</v>
      </c>
      <c r="C44" s="337"/>
      <c r="D44" s="331">
        <f t="shared" si="8"/>
        <v>9744744.9000000004</v>
      </c>
      <c r="E44" s="331">
        <f t="shared" si="7"/>
        <v>85085.03333333334</v>
      </c>
      <c r="F44" s="331">
        <f t="shared" si="6"/>
        <v>57575.201117500001</v>
      </c>
      <c r="G44" s="333">
        <f t="shared" si="2"/>
        <v>142660.23445083335</v>
      </c>
      <c r="H44" s="202"/>
      <c r="I44" s="202"/>
    </row>
    <row r="45" spans="1:9" s="56" customFormat="1">
      <c r="A45" s="56">
        <f t="shared" si="3"/>
        <v>29</v>
      </c>
      <c r="B45" s="330">
        <f t="shared" si="1"/>
        <v>44500</v>
      </c>
      <c r="C45" s="337"/>
      <c r="D45" s="331">
        <f t="shared" si="8"/>
        <v>9659659.8666666672</v>
      </c>
      <c r="E45" s="331">
        <f t="shared" si="7"/>
        <v>85085.03333333334</v>
      </c>
      <c r="F45" s="331">
        <f t="shared" si="6"/>
        <v>58974.906724851855</v>
      </c>
      <c r="G45" s="333">
        <f t="shared" si="2"/>
        <v>144059.9400581852</v>
      </c>
      <c r="H45" s="202"/>
      <c r="I45" s="202"/>
    </row>
    <row r="46" spans="1:9" s="56" customFormat="1">
      <c r="A46" s="56">
        <f t="shared" si="3"/>
        <v>30</v>
      </c>
      <c r="B46" s="330">
        <f t="shared" si="1"/>
        <v>44530</v>
      </c>
      <c r="C46" s="337"/>
      <c r="D46" s="331">
        <f t="shared" si="8"/>
        <v>9574574.833333334</v>
      </c>
      <c r="E46" s="331">
        <f t="shared" si="7"/>
        <v>85085.03333333334</v>
      </c>
      <c r="F46" s="331">
        <f t="shared" si="6"/>
        <v>56569.779640277782</v>
      </c>
      <c r="G46" s="333">
        <f t="shared" si="2"/>
        <v>141654.81297361112</v>
      </c>
      <c r="H46" s="202"/>
      <c r="I46" s="202"/>
    </row>
    <row r="47" spans="1:9" s="56" customFormat="1">
      <c r="A47" s="56">
        <f t="shared" si="3"/>
        <v>31</v>
      </c>
      <c r="B47" s="334">
        <f t="shared" si="1"/>
        <v>44561</v>
      </c>
      <c r="C47" s="338"/>
      <c r="D47" s="335">
        <f t="shared" si="8"/>
        <v>9489489.8000000007</v>
      </c>
      <c r="E47" s="335">
        <f t="shared" si="7"/>
        <v>85085.03333333334</v>
      </c>
      <c r="F47" s="335">
        <f t="shared" si="6"/>
        <v>57935.971198388892</v>
      </c>
      <c r="G47" s="336">
        <f t="shared" si="2"/>
        <v>143021.00453172222</v>
      </c>
      <c r="H47" s="202">
        <f>SUM(E36:E47)</f>
        <v>595595.2333333334</v>
      </c>
      <c r="I47" s="202">
        <f>SUM(F36:F47)</f>
        <v>583997.45539132413</v>
      </c>
    </row>
    <row r="48" spans="1:9" s="56" customFormat="1">
      <c r="A48" s="56">
        <f t="shared" si="3"/>
        <v>32</v>
      </c>
      <c r="B48" s="330">
        <f t="shared" si="1"/>
        <v>44592</v>
      </c>
      <c r="C48" s="337"/>
      <c r="D48" s="331">
        <f t="shared" ref="D48:D56" si="9">D49+E49</f>
        <v>10724583.390000002</v>
      </c>
      <c r="E48" s="331">
        <f>16449.97+80097.27</f>
        <v>96547.24</v>
      </c>
      <c r="F48" s="331">
        <f t="shared" si="6"/>
        <v>65476.560646891689</v>
      </c>
      <c r="G48" s="333">
        <f t="shared" si="2"/>
        <v>162023.8006468917</v>
      </c>
      <c r="H48" s="202"/>
      <c r="I48" s="202"/>
    </row>
    <row r="49" spans="1:9" s="56" customFormat="1">
      <c r="A49" s="56">
        <f t="shared" si="3"/>
        <v>33</v>
      </c>
      <c r="B49" s="330">
        <f t="shared" si="1"/>
        <v>44620</v>
      </c>
      <c r="C49" s="337"/>
      <c r="D49" s="331">
        <f t="shared" si="9"/>
        <v>10628036.150000002</v>
      </c>
      <c r="E49" s="331">
        <f t="shared" si="7"/>
        <v>96547.24</v>
      </c>
      <c r="F49" s="331">
        <f t="shared" si="6"/>
        <v>58607.714902722233</v>
      </c>
      <c r="G49" s="333">
        <f t="shared" si="2"/>
        <v>155154.95490272224</v>
      </c>
      <c r="H49" s="202"/>
      <c r="I49" s="202"/>
    </row>
    <row r="50" spans="1:9" s="56" customFormat="1">
      <c r="A50" s="56">
        <f t="shared" si="3"/>
        <v>34</v>
      </c>
      <c r="B50" s="330">
        <f t="shared" si="1"/>
        <v>44651</v>
      </c>
      <c r="C50" s="337"/>
      <c r="D50" s="331">
        <f t="shared" si="9"/>
        <v>10531488.910000002</v>
      </c>
      <c r="E50" s="331">
        <f t="shared" si="7"/>
        <v>96547.24</v>
      </c>
      <c r="F50" s="331">
        <f t="shared" si="6"/>
        <v>64297.665209136125</v>
      </c>
      <c r="G50" s="333">
        <f t="shared" si="2"/>
        <v>160844.90520913614</v>
      </c>
      <c r="H50" s="202"/>
      <c r="I50" s="202"/>
    </row>
    <row r="51" spans="1:9" s="56" customFormat="1">
      <c r="A51" s="56">
        <f t="shared" si="3"/>
        <v>35</v>
      </c>
      <c r="B51" s="330">
        <f t="shared" si="1"/>
        <v>44681</v>
      </c>
      <c r="C51" s="337"/>
      <c r="D51" s="331">
        <f t="shared" si="9"/>
        <v>10434941.670000002</v>
      </c>
      <c r="E51" s="331">
        <f t="shared" si="7"/>
        <v>96547.24</v>
      </c>
      <c r="F51" s="331">
        <f t="shared" si="6"/>
        <v>61653.113700250011</v>
      </c>
      <c r="G51" s="333">
        <f t="shared" si="2"/>
        <v>158200.35370025001</v>
      </c>
      <c r="H51" s="202"/>
      <c r="I51" s="202"/>
    </row>
    <row r="52" spans="1:9" s="56" customFormat="1">
      <c r="A52" s="56">
        <f t="shared" si="3"/>
        <v>36</v>
      </c>
      <c r="B52" s="330">
        <f t="shared" si="1"/>
        <v>44712</v>
      </c>
      <c r="C52" s="337"/>
      <c r="D52" s="331">
        <f t="shared" si="9"/>
        <v>10338394.430000002</v>
      </c>
      <c r="E52" s="331">
        <f t="shared" si="7"/>
        <v>96547.24</v>
      </c>
      <c r="F52" s="331">
        <f t="shared" si="6"/>
        <v>63118.769771380568</v>
      </c>
      <c r="G52" s="333">
        <f t="shared" si="2"/>
        <v>159666.00977138057</v>
      </c>
      <c r="H52" s="202"/>
      <c r="I52" s="202"/>
    </row>
    <row r="53" spans="1:9" s="56" customFormat="1">
      <c r="A53" s="56">
        <f t="shared" si="3"/>
        <v>37</v>
      </c>
      <c r="B53" s="330">
        <f t="shared" si="1"/>
        <v>44742</v>
      </c>
      <c r="C53" s="337"/>
      <c r="D53" s="331">
        <f t="shared" si="9"/>
        <v>10241847.190000001</v>
      </c>
      <c r="E53" s="331">
        <f t="shared" si="7"/>
        <v>96547.24</v>
      </c>
      <c r="F53" s="331">
        <f t="shared" si="6"/>
        <v>60512.247147583352</v>
      </c>
      <c r="G53" s="333">
        <f t="shared" si="2"/>
        <v>157059.48714758336</v>
      </c>
      <c r="H53" s="202"/>
      <c r="I53" s="202"/>
    </row>
    <row r="54" spans="1:9" s="56" customFormat="1">
      <c r="A54" s="56">
        <f t="shared" si="3"/>
        <v>38</v>
      </c>
      <c r="B54" s="330">
        <f t="shared" si="1"/>
        <v>44773</v>
      </c>
      <c r="C54" s="337"/>
      <c r="D54" s="331">
        <f t="shared" si="9"/>
        <v>10145299.950000001</v>
      </c>
      <c r="E54" s="331">
        <f t="shared" si="7"/>
        <v>96547.24</v>
      </c>
      <c r="F54" s="331">
        <f t="shared" si="6"/>
        <v>61939.874333625019</v>
      </c>
      <c r="G54" s="333">
        <f t="shared" si="2"/>
        <v>158487.11433362501</v>
      </c>
      <c r="H54" s="202"/>
      <c r="I54" s="202"/>
    </row>
    <row r="55" spans="1:9" s="56" customFormat="1">
      <c r="A55" s="56">
        <f t="shared" si="3"/>
        <v>39</v>
      </c>
      <c r="B55" s="330">
        <f t="shared" si="1"/>
        <v>44804</v>
      </c>
      <c r="C55" s="337"/>
      <c r="D55" s="331">
        <f t="shared" si="9"/>
        <v>10048752.710000001</v>
      </c>
      <c r="E55" s="331">
        <f t="shared" si="7"/>
        <v>96547.24</v>
      </c>
      <c r="F55" s="331">
        <f t="shared" si="6"/>
        <v>61350.426614747237</v>
      </c>
      <c r="G55" s="333">
        <f t="shared" si="2"/>
        <v>157897.66661474726</v>
      </c>
      <c r="H55" s="202"/>
      <c r="I55" s="202"/>
    </row>
    <row r="56" spans="1:9" s="56" customFormat="1">
      <c r="A56" s="56">
        <f t="shared" si="3"/>
        <v>40</v>
      </c>
      <c r="B56" s="330">
        <f t="shared" si="1"/>
        <v>44834</v>
      </c>
      <c r="C56" s="337"/>
      <c r="D56" s="331">
        <f t="shared" si="9"/>
        <v>9952205.4700000007</v>
      </c>
      <c r="E56" s="331">
        <f t="shared" si="7"/>
        <v>96547.24</v>
      </c>
      <c r="F56" s="331">
        <f t="shared" si="6"/>
        <v>58800.947318583341</v>
      </c>
      <c r="G56" s="333">
        <f t="shared" si="2"/>
        <v>155348.18731858334</v>
      </c>
      <c r="H56" s="202"/>
      <c r="I56" s="202"/>
    </row>
    <row r="57" spans="1:9" s="56" customFormat="1">
      <c r="A57" s="56">
        <f t="shared" si="3"/>
        <v>41</v>
      </c>
      <c r="B57" s="330">
        <f t="shared" si="1"/>
        <v>44865</v>
      </c>
      <c r="C57" s="337"/>
      <c r="D57" s="331">
        <f>D58+E58</f>
        <v>9855658.2300000004</v>
      </c>
      <c r="E57" s="331">
        <f t="shared" si="7"/>
        <v>96547.24</v>
      </c>
      <c r="F57" s="331">
        <f t="shared" si="6"/>
        <v>60171.531176991666</v>
      </c>
      <c r="G57" s="333">
        <f t="shared" si="2"/>
        <v>156718.77117699166</v>
      </c>
      <c r="H57" s="202"/>
      <c r="I57" s="202"/>
    </row>
    <row r="58" spans="1:9" s="56" customFormat="1">
      <c r="A58" s="56">
        <f t="shared" si="3"/>
        <v>42</v>
      </c>
      <c r="B58" s="330">
        <f t="shared" si="1"/>
        <v>44895</v>
      </c>
      <c r="C58" s="337"/>
      <c r="D58" s="331">
        <f>1332447.67+8410213.35+16449.97</f>
        <v>9759110.9900000002</v>
      </c>
      <c r="E58" s="331">
        <f>E57</f>
        <v>96547.24</v>
      </c>
      <c r="F58" s="331">
        <f>(B58-B57)*D58*$D$4/360</f>
        <v>57660.080765916668</v>
      </c>
      <c r="G58" s="333">
        <f t="shared" si="2"/>
        <v>154207.32076591667</v>
      </c>
      <c r="H58" s="202"/>
      <c r="I58" s="202"/>
    </row>
    <row r="59" spans="1:9" s="56" customFormat="1">
      <c r="A59" s="56">
        <f t="shared" si="3"/>
        <v>43</v>
      </c>
      <c r="B59" s="334">
        <f t="shared" si="1"/>
        <v>44926</v>
      </c>
      <c r="C59" s="338"/>
      <c r="D59" s="335">
        <f>D58-E58</f>
        <v>9662563.75</v>
      </c>
      <c r="E59" s="335">
        <f t="shared" si="7"/>
        <v>96547.24</v>
      </c>
      <c r="F59" s="335">
        <f t="shared" si="6"/>
        <v>58992.635739236117</v>
      </c>
      <c r="G59" s="336">
        <f t="shared" si="2"/>
        <v>155539.87573923613</v>
      </c>
      <c r="H59" s="202">
        <f>SUM(E48:E59)</f>
        <v>1158566.8800000001</v>
      </c>
      <c r="I59" s="202">
        <f>SUM(F48:F59)</f>
        <v>732581.567327064</v>
      </c>
    </row>
    <row r="60" spans="1:9" s="56" customFormat="1">
      <c r="A60" s="56">
        <f t="shared" si="3"/>
        <v>44</v>
      </c>
      <c r="B60" s="330">
        <f t="shared" si="1"/>
        <v>44957</v>
      </c>
      <c r="C60" s="337"/>
      <c r="D60" s="331">
        <f t="shared" si="8"/>
        <v>9566016.5099999998</v>
      </c>
      <c r="E60" s="331">
        <f t="shared" si="7"/>
        <v>96547.24</v>
      </c>
      <c r="F60" s="331">
        <f t="shared" si="6"/>
        <v>58403.188020358335</v>
      </c>
      <c r="G60" s="333">
        <f t="shared" si="2"/>
        <v>154950.42802035835</v>
      </c>
      <c r="H60" s="202"/>
      <c r="I60" s="202"/>
    </row>
    <row r="61" spans="1:9" s="56" customFormat="1">
      <c r="A61" s="56">
        <f t="shared" si="3"/>
        <v>45</v>
      </c>
      <c r="B61" s="330">
        <f t="shared" si="1"/>
        <v>44985</v>
      </c>
      <c r="C61" s="337"/>
      <c r="D61" s="331">
        <f t="shared" si="8"/>
        <v>9469469.2699999996</v>
      </c>
      <c r="E61" s="331">
        <f t="shared" si="7"/>
        <v>96547.24</v>
      </c>
      <c r="F61" s="331">
        <f t="shared" si="6"/>
        <v>52218.862207788894</v>
      </c>
      <c r="G61" s="333">
        <f t="shared" si="2"/>
        <v>148766.10220778891</v>
      </c>
      <c r="H61" s="202"/>
      <c r="I61" s="202"/>
    </row>
    <row r="62" spans="1:9" s="56" customFormat="1">
      <c r="A62" s="56">
        <f t="shared" si="3"/>
        <v>46</v>
      </c>
      <c r="B62" s="330">
        <f t="shared" si="1"/>
        <v>45016</v>
      </c>
      <c r="C62" s="337"/>
      <c r="D62" s="331">
        <f t="shared" si="8"/>
        <v>9372922.0299999993</v>
      </c>
      <c r="E62" s="331">
        <f t="shared" si="7"/>
        <v>96547.24</v>
      </c>
      <c r="F62" s="331">
        <f t="shared" si="6"/>
        <v>57224.292582602779</v>
      </c>
      <c r="G62" s="333">
        <f t="shared" si="2"/>
        <v>153771.53258260278</v>
      </c>
      <c r="H62" s="202"/>
      <c r="I62" s="202"/>
    </row>
    <row r="63" spans="1:9" s="56" customFormat="1">
      <c r="A63" s="56">
        <f t="shared" si="3"/>
        <v>47</v>
      </c>
      <c r="B63" s="330">
        <f t="shared" si="1"/>
        <v>45046</v>
      </c>
      <c r="C63" s="337"/>
      <c r="D63" s="331">
        <f t="shared" si="8"/>
        <v>9276374.7899999991</v>
      </c>
      <c r="E63" s="331">
        <f t="shared" si="7"/>
        <v>96547.24</v>
      </c>
      <c r="F63" s="331">
        <f t="shared" si="6"/>
        <v>54807.914384249998</v>
      </c>
      <c r="G63" s="333">
        <f t="shared" si="2"/>
        <v>151355.15438425</v>
      </c>
      <c r="H63" s="202"/>
      <c r="I63" s="202"/>
    </row>
    <row r="64" spans="1:9" s="56" customFormat="1">
      <c r="A64" s="56">
        <f t="shared" si="3"/>
        <v>48</v>
      </c>
      <c r="B64" s="330">
        <f t="shared" si="1"/>
        <v>45077</v>
      </c>
      <c r="C64" s="337"/>
      <c r="D64" s="331">
        <f t="shared" si="8"/>
        <v>9179827.5499999989</v>
      </c>
      <c r="E64" s="331">
        <f t="shared" si="7"/>
        <v>96547.24</v>
      </c>
      <c r="F64" s="331">
        <f t="shared" si="6"/>
        <v>56045.397144847215</v>
      </c>
      <c r="G64" s="333">
        <f t="shared" si="2"/>
        <v>152592.63714484722</v>
      </c>
      <c r="H64" s="202"/>
      <c r="I64" s="202"/>
    </row>
    <row r="65" spans="1:9" s="56" customFormat="1">
      <c r="A65" s="56">
        <f t="shared" si="3"/>
        <v>49</v>
      </c>
      <c r="B65" s="330">
        <f t="shared" si="1"/>
        <v>45107</v>
      </c>
      <c r="C65" s="337"/>
      <c r="D65" s="331">
        <f t="shared" si="8"/>
        <v>9083280.3099999987</v>
      </c>
      <c r="E65" s="331">
        <f t="shared" si="7"/>
        <v>96547.24</v>
      </c>
      <c r="F65" s="331">
        <f t="shared" si="6"/>
        <v>53667.047831583324</v>
      </c>
      <c r="G65" s="333">
        <f t="shared" si="2"/>
        <v>150214.28783158332</v>
      </c>
      <c r="H65" s="202"/>
      <c r="I65" s="202"/>
    </row>
    <row r="66" spans="1:9" s="56" customFormat="1">
      <c r="A66" s="56">
        <f t="shared" si="3"/>
        <v>50</v>
      </c>
      <c r="B66" s="330">
        <f t="shared" si="1"/>
        <v>45138</v>
      </c>
      <c r="C66" s="337"/>
      <c r="D66" s="331">
        <f t="shared" si="8"/>
        <v>8986733.0699999984</v>
      </c>
      <c r="E66" s="331">
        <f t="shared" si="7"/>
        <v>96547.24</v>
      </c>
      <c r="F66" s="331">
        <f t="shared" si="6"/>
        <v>54866.501707091658</v>
      </c>
      <c r="G66" s="333">
        <f t="shared" si="2"/>
        <v>151413.74170709166</v>
      </c>
      <c r="H66" s="202"/>
      <c r="I66" s="202"/>
    </row>
    <row r="67" spans="1:9" s="56" customFormat="1">
      <c r="A67" s="56">
        <f t="shared" si="3"/>
        <v>51</v>
      </c>
      <c r="B67" s="330">
        <f t="shared" si="1"/>
        <v>45169</v>
      </c>
      <c r="C67" s="337"/>
      <c r="D67" s="331">
        <f t="shared" si="8"/>
        <v>8890185.8299999982</v>
      </c>
      <c r="E67" s="331">
        <f t="shared" si="7"/>
        <v>96547.24</v>
      </c>
      <c r="F67" s="331">
        <f t="shared" si="6"/>
        <v>54277.053988213891</v>
      </c>
      <c r="G67" s="333">
        <f t="shared" si="2"/>
        <v>150824.2939882139</v>
      </c>
      <c r="H67" s="202"/>
      <c r="I67" s="202"/>
    </row>
    <row r="68" spans="1:9" s="56" customFormat="1">
      <c r="A68" s="56">
        <f t="shared" si="3"/>
        <v>52</v>
      </c>
      <c r="B68" s="330">
        <f t="shared" si="1"/>
        <v>45199</v>
      </c>
      <c r="C68" s="337"/>
      <c r="D68" s="331">
        <f t="shared" si="8"/>
        <v>8793638.589999998</v>
      </c>
      <c r="E68" s="331">
        <f t="shared" si="7"/>
        <v>96547.24</v>
      </c>
      <c r="F68" s="331">
        <f t="shared" si="6"/>
        <v>51955.748002583328</v>
      </c>
      <c r="G68" s="333">
        <f t="shared" si="2"/>
        <v>148502.98800258333</v>
      </c>
      <c r="H68" s="202"/>
      <c r="I68" s="202"/>
    </row>
    <row r="69" spans="1:9" s="56" customFormat="1">
      <c r="A69" s="56">
        <f t="shared" si="3"/>
        <v>53</v>
      </c>
      <c r="B69" s="330">
        <f t="shared" si="1"/>
        <v>45230</v>
      </c>
      <c r="C69" s="337"/>
      <c r="D69" s="331">
        <f t="shared" si="8"/>
        <v>8697091.3499999978</v>
      </c>
      <c r="E69" s="331">
        <f t="shared" si="7"/>
        <v>96547.24</v>
      </c>
      <c r="F69" s="331">
        <f t="shared" si="6"/>
        <v>53098.15855045832</v>
      </c>
      <c r="G69" s="333">
        <f t="shared" si="2"/>
        <v>149645.39855045831</v>
      </c>
      <c r="H69" s="202"/>
      <c r="I69" s="202"/>
    </row>
    <row r="70" spans="1:9" s="56" customFormat="1">
      <c r="A70" s="56">
        <f t="shared" si="3"/>
        <v>54</v>
      </c>
      <c r="B70" s="330">
        <f t="shared" si="1"/>
        <v>45260</v>
      </c>
      <c r="C70" s="337"/>
      <c r="D70" s="331">
        <f t="shared" si="8"/>
        <v>8600544.1099999975</v>
      </c>
      <c r="E70" s="331">
        <f t="shared" si="7"/>
        <v>96547.24</v>
      </c>
      <c r="F70" s="331">
        <f t="shared" si="6"/>
        <v>50814.881449916662</v>
      </c>
      <c r="G70" s="333">
        <f t="shared" si="2"/>
        <v>147362.12144991668</v>
      </c>
      <c r="H70" s="202"/>
      <c r="I70" s="202"/>
    </row>
    <row r="71" spans="1:9" s="56" customFormat="1">
      <c r="A71" s="56">
        <f t="shared" si="3"/>
        <v>55</v>
      </c>
      <c r="B71" s="334">
        <f t="shared" si="1"/>
        <v>45291</v>
      </c>
      <c r="C71" s="338"/>
      <c r="D71" s="335">
        <f t="shared" si="8"/>
        <v>8503996.8699999973</v>
      </c>
      <c r="E71" s="335">
        <f t="shared" si="7"/>
        <v>96547.24</v>
      </c>
      <c r="F71" s="335">
        <f t="shared" si="6"/>
        <v>51919.263112702756</v>
      </c>
      <c r="G71" s="336">
        <f t="shared" si="2"/>
        <v>148466.50311270275</v>
      </c>
      <c r="H71" s="202">
        <f>SUM(E60:E71)</f>
        <v>1158566.8800000001</v>
      </c>
      <c r="I71" s="202">
        <f>SUM(F60:F71)</f>
        <v>649298.30898239708</v>
      </c>
    </row>
    <row r="72" spans="1:9" s="56" customFormat="1">
      <c r="A72" s="56">
        <f t="shared" si="3"/>
        <v>56</v>
      </c>
      <c r="B72" s="330">
        <f t="shared" si="1"/>
        <v>45322</v>
      </c>
      <c r="C72" s="337"/>
      <c r="D72" s="331">
        <f t="shared" si="8"/>
        <v>8407449.6299999971</v>
      </c>
      <c r="E72" s="331">
        <f t="shared" si="7"/>
        <v>96547.24</v>
      </c>
      <c r="F72" s="331">
        <f t="shared" si="6"/>
        <v>51329.815393824989</v>
      </c>
      <c r="G72" s="333">
        <f t="shared" si="2"/>
        <v>147877.05539382499</v>
      </c>
      <c r="H72" s="202"/>
      <c r="I72" s="202"/>
    </row>
    <row r="73" spans="1:9" s="56" customFormat="1">
      <c r="A73" s="56">
        <f t="shared" si="3"/>
        <v>57</v>
      </c>
      <c r="B73" s="330">
        <f t="shared" si="1"/>
        <v>45351</v>
      </c>
      <c r="C73" s="337"/>
      <c r="D73" s="331">
        <f t="shared" si="8"/>
        <v>8310902.3899999969</v>
      </c>
      <c r="E73" s="331">
        <f t="shared" si="7"/>
        <v>96547.24</v>
      </c>
      <c r="F73" s="331">
        <f t="shared" si="6"/>
        <v>47466.795566886096</v>
      </c>
      <c r="G73" s="333">
        <f t="shared" si="2"/>
        <v>144014.0355668861</v>
      </c>
      <c r="H73" s="202"/>
      <c r="I73" s="202"/>
    </row>
    <row r="74" spans="1:9" s="56" customFormat="1">
      <c r="A74" s="56">
        <f t="shared" si="3"/>
        <v>58</v>
      </c>
      <c r="B74" s="330">
        <f t="shared" si="1"/>
        <v>45382</v>
      </c>
      <c r="C74" s="337"/>
      <c r="D74" s="331">
        <f t="shared" si="8"/>
        <v>8214355.1499999966</v>
      </c>
      <c r="E74" s="331">
        <f t="shared" si="7"/>
        <v>96547.24</v>
      </c>
      <c r="F74" s="331">
        <f t="shared" si="6"/>
        <v>50150.919956069432</v>
      </c>
      <c r="G74" s="333">
        <f t="shared" si="2"/>
        <v>146698.15995606943</v>
      </c>
      <c r="H74" s="202"/>
      <c r="I74" s="202"/>
    </row>
    <row r="75" spans="1:9" s="56" customFormat="1">
      <c r="A75" s="56">
        <f t="shared" si="3"/>
        <v>59</v>
      </c>
      <c r="B75" s="330">
        <f t="shared" si="1"/>
        <v>45412</v>
      </c>
      <c r="C75" s="337"/>
      <c r="D75" s="331">
        <f t="shared" si="8"/>
        <v>8117807.9099999964</v>
      </c>
      <c r="E75" s="331">
        <f t="shared" si="7"/>
        <v>96547.24</v>
      </c>
      <c r="F75" s="331">
        <f t="shared" si="6"/>
        <v>47962.715068249985</v>
      </c>
      <c r="G75" s="333">
        <f t="shared" si="2"/>
        <v>144509.95506824998</v>
      </c>
      <c r="H75" s="202"/>
      <c r="I75" s="202"/>
    </row>
    <row r="76" spans="1:9" s="56" customFormat="1">
      <c r="A76" s="56">
        <f t="shared" si="3"/>
        <v>60</v>
      </c>
      <c r="B76" s="330">
        <f t="shared" si="1"/>
        <v>45443</v>
      </c>
      <c r="C76" s="337"/>
      <c r="D76" s="331">
        <f t="shared" si="8"/>
        <v>8021260.6699999962</v>
      </c>
      <c r="E76" s="331">
        <f t="shared" si="7"/>
        <v>96547.24</v>
      </c>
      <c r="F76" s="331">
        <f t="shared" si="6"/>
        <v>48972.024518313869</v>
      </c>
      <c r="G76" s="333">
        <f t="shared" si="2"/>
        <v>145519.26451831387</v>
      </c>
      <c r="H76" s="202"/>
      <c r="I76" s="202"/>
    </row>
    <row r="77" spans="1:9" s="56" customFormat="1">
      <c r="A77" s="56">
        <f t="shared" si="3"/>
        <v>61</v>
      </c>
      <c r="B77" s="330">
        <f t="shared" si="1"/>
        <v>45473</v>
      </c>
      <c r="C77" s="337"/>
      <c r="D77" s="331">
        <f t="shared" si="8"/>
        <v>7924713.429999996</v>
      </c>
      <c r="E77" s="331">
        <f t="shared" si="7"/>
        <v>96547.24</v>
      </c>
      <c r="F77" s="331">
        <f t="shared" si="6"/>
        <v>46821.848515583319</v>
      </c>
      <c r="G77" s="333">
        <f t="shared" si="2"/>
        <v>143369.08851558331</v>
      </c>
      <c r="H77" s="202"/>
      <c r="I77" s="202"/>
    </row>
    <row r="78" spans="1:9" s="56" customFormat="1">
      <c r="A78" s="56">
        <f t="shared" si="3"/>
        <v>62</v>
      </c>
      <c r="B78" s="330">
        <f t="shared" ref="B78:B141" si="10">EOMONTH(B77,1)</f>
        <v>45504</v>
      </c>
      <c r="C78" s="337"/>
      <c r="D78" s="331">
        <f t="shared" si="8"/>
        <v>7828166.1899999958</v>
      </c>
      <c r="E78" s="331">
        <f t="shared" si="7"/>
        <v>96547.24</v>
      </c>
      <c r="F78" s="331">
        <f t="shared" si="6"/>
        <v>47793.129080558312</v>
      </c>
      <c r="G78" s="333">
        <f t="shared" si="2"/>
        <v>144340.3690805583</v>
      </c>
      <c r="H78" s="202"/>
      <c r="I78" s="202"/>
    </row>
    <row r="79" spans="1:9" s="56" customFormat="1">
      <c r="A79" s="56">
        <f t="shared" si="3"/>
        <v>63</v>
      </c>
      <c r="B79" s="330">
        <f t="shared" si="10"/>
        <v>45535</v>
      </c>
      <c r="C79" s="337"/>
      <c r="D79" s="331">
        <f t="shared" si="8"/>
        <v>7731618.9499999955</v>
      </c>
      <c r="E79" s="331">
        <f t="shared" si="7"/>
        <v>96547.24</v>
      </c>
      <c r="F79" s="331">
        <f t="shared" si="6"/>
        <v>47203.68136168053</v>
      </c>
      <c r="G79" s="333">
        <f t="shared" si="2"/>
        <v>143750.92136168055</v>
      </c>
      <c r="H79" s="202"/>
      <c r="I79" s="202"/>
    </row>
    <row r="80" spans="1:9" s="56" customFormat="1">
      <c r="A80" s="56">
        <f t="shared" si="3"/>
        <v>64</v>
      </c>
      <c r="B80" s="330">
        <f t="shared" si="10"/>
        <v>45565</v>
      </c>
      <c r="C80" s="337"/>
      <c r="D80" s="331">
        <f t="shared" si="8"/>
        <v>7635071.7099999953</v>
      </c>
      <c r="E80" s="331">
        <f t="shared" si="7"/>
        <v>96547.24</v>
      </c>
      <c r="F80" s="331">
        <f t="shared" si="6"/>
        <v>45110.548686583308</v>
      </c>
      <c r="G80" s="333">
        <f t="shared" si="2"/>
        <v>141657.78868658331</v>
      </c>
      <c r="H80" s="202"/>
      <c r="I80" s="202"/>
    </row>
    <row r="81" spans="1:9" s="56" customFormat="1">
      <c r="A81" s="56">
        <f t="shared" si="3"/>
        <v>65</v>
      </c>
      <c r="B81" s="330">
        <f t="shared" si="10"/>
        <v>45596</v>
      </c>
      <c r="C81" s="337"/>
      <c r="D81" s="331">
        <f t="shared" si="8"/>
        <v>7538524.4699999951</v>
      </c>
      <c r="E81" s="331">
        <f t="shared" si="7"/>
        <v>96547.24</v>
      </c>
      <c r="F81" s="331">
        <f t="shared" si="6"/>
        <v>46024.785923924966</v>
      </c>
      <c r="G81" s="333">
        <f t="shared" ref="G81:G144" si="11">E81+F81</f>
        <v>142572.02592392499</v>
      </c>
      <c r="H81" s="202"/>
      <c r="I81" s="202"/>
    </row>
    <row r="82" spans="1:9" s="56" customFormat="1">
      <c r="A82" s="56">
        <f t="shared" ref="A82:A145" si="12">A81+1</f>
        <v>66</v>
      </c>
      <c r="B82" s="330">
        <f t="shared" si="10"/>
        <v>45626</v>
      </c>
      <c r="C82" s="337"/>
      <c r="D82" s="331">
        <f t="shared" si="8"/>
        <v>7441977.2299999949</v>
      </c>
      <c r="E82" s="331">
        <f t="shared" si="7"/>
        <v>96547.24</v>
      </c>
      <c r="F82" s="331">
        <f t="shared" si="6"/>
        <v>43969.682133916642</v>
      </c>
      <c r="G82" s="333">
        <f t="shared" si="11"/>
        <v>140516.92213391664</v>
      </c>
      <c r="H82" s="202"/>
      <c r="I82" s="202"/>
    </row>
    <row r="83" spans="1:9" s="56" customFormat="1">
      <c r="A83" s="56">
        <f t="shared" si="12"/>
        <v>67</v>
      </c>
      <c r="B83" s="334">
        <f t="shared" si="10"/>
        <v>45657</v>
      </c>
      <c r="C83" s="338"/>
      <c r="D83" s="335">
        <f t="shared" si="8"/>
        <v>7345429.9899999946</v>
      </c>
      <c r="E83" s="335">
        <f t="shared" si="7"/>
        <v>96547.24</v>
      </c>
      <c r="F83" s="335">
        <f t="shared" si="6"/>
        <v>44845.89048616941</v>
      </c>
      <c r="G83" s="336">
        <f t="shared" si="11"/>
        <v>141393.13048616942</v>
      </c>
      <c r="H83" s="202">
        <f>SUM(E72:E83)</f>
        <v>1158566.8800000001</v>
      </c>
      <c r="I83" s="202">
        <f>SUM(F72:F83)</f>
        <v>567651.83669176081</v>
      </c>
    </row>
    <row r="84" spans="1:9" s="56" customFormat="1">
      <c r="A84" s="56">
        <f t="shared" si="12"/>
        <v>68</v>
      </c>
      <c r="B84" s="330">
        <f t="shared" si="10"/>
        <v>45688</v>
      </c>
      <c r="C84" s="337"/>
      <c r="D84" s="331">
        <f t="shared" si="8"/>
        <v>7248882.7499999944</v>
      </c>
      <c r="E84" s="331">
        <f t="shared" si="7"/>
        <v>96547.24</v>
      </c>
      <c r="F84" s="331">
        <f t="shared" si="6"/>
        <v>44256.442767291635</v>
      </c>
      <c r="G84" s="333">
        <f t="shared" si="11"/>
        <v>140803.68276729164</v>
      </c>
      <c r="H84" s="202"/>
      <c r="I84" s="202"/>
    </row>
    <row r="85" spans="1:9" s="56" customFormat="1">
      <c r="A85" s="56">
        <f t="shared" si="12"/>
        <v>69</v>
      </c>
      <c r="B85" s="330">
        <f t="shared" si="10"/>
        <v>45716</v>
      </c>
      <c r="C85" s="337"/>
      <c r="D85" s="331">
        <f t="shared" si="8"/>
        <v>7152335.5099999942</v>
      </c>
      <c r="E85" s="331">
        <f t="shared" si="7"/>
        <v>96547.24</v>
      </c>
      <c r="F85" s="331">
        <f t="shared" si="6"/>
        <v>39441.156817922201</v>
      </c>
      <c r="G85" s="333">
        <f t="shared" si="11"/>
        <v>135988.39681792221</v>
      </c>
      <c r="H85" s="202"/>
      <c r="I85" s="202"/>
    </row>
    <row r="86" spans="1:9" s="56" customFormat="1">
      <c r="A86" s="56">
        <f t="shared" si="12"/>
        <v>70</v>
      </c>
      <c r="B86" s="330">
        <f t="shared" si="10"/>
        <v>45747</v>
      </c>
      <c r="C86" s="337"/>
      <c r="D86" s="331">
        <f t="shared" si="8"/>
        <v>7055788.269999994</v>
      </c>
      <c r="E86" s="331">
        <f t="shared" si="7"/>
        <v>96547.24</v>
      </c>
      <c r="F86" s="331">
        <f t="shared" si="6"/>
        <v>43077.547329536079</v>
      </c>
      <c r="G86" s="333">
        <f t="shared" si="11"/>
        <v>139624.78732953608</v>
      </c>
      <c r="H86" s="202"/>
      <c r="I86" s="202"/>
    </row>
    <row r="87" spans="1:9" s="56" customFormat="1">
      <c r="A87" s="56">
        <f t="shared" si="12"/>
        <v>71</v>
      </c>
      <c r="B87" s="330">
        <f t="shared" si="10"/>
        <v>45777</v>
      </c>
      <c r="C87" s="337"/>
      <c r="D87" s="331">
        <f t="shared" si="8"/>
        <v>6959241.0299999937</v>
      </c>
      <c r="E87" s="331">
        <f t="shared" si="7"/>
        <v>96547.24</v>
      </c>
      <c r="F87" s="331">
        <f t="shared" si="6"/>
        <v>41117.515752249965</v>
      </c>
      <c r="G87" s="333">
        <f t="shared" si="11"/>
        <v>137664.75575224997</v>
      </c>
      <c r="H87" s="202"/>
      <c r="I87" s="202"/>
    </row>
    <row r="88" spans="1:9" s="56" customFormat="1">
      <c r="A88" s="56">
        <f t="shared" si="12"/>
        <v>72</v>
      </c>
      <c r="B88" s="330">
        <f t="shared" si="10"/>
        <v>45808</v>
      </c>
      <c r="C88" s="337"/>
      <c r="D88" s="331">
        <f t="shared" si="8"/>
        <v>6862693.7899999935</v>
      </c>
      <c r="E88" s="331">
        <f t="shared" si="7"/>
        <v>96547.24</v>
      </c>
      <c r="F88" s="331">
        <f t="shared" si="6"/>
        <v>41898.651891780522</v>
      </c>
      <c r="G88" s="333">
        <f t="shared" si="11"/>
        <v>138445.89189178054</v>
      </c>
      <c r="H88" s="202"/>
      <c r="I88" s="202"/>
    </row>
    <row r="89" spans="1:9" s="56" customFormat="1">
      <c r="A89" s="56">
        <f t="shared" si="12"/>
        <v>73</v>
      </c>
      <c r="B89" s="330">
        <f t="shared" si="10"/>
        <v>45838</v>
      </c>
      <c r="C89" s="337"/>
      <c r="D89" s="331">
        <f t="shared" si="8"/>
        <v>6766146.5499999933</v>
      </c>
      <c r="E89" s="331">
        <f t="shared" si="7"/>
        <v>96547.24</v>
      </c>
      <c r="F89" s="331">
        <f t="shared" si="6"/>
        <v>39976.649199583291</v>
      </c>
      <c r="G89" s="333">
        <f t="shared" si="11"/>
        <v>136523.8891995833</v>
      </c>
      <c r="H89" s="202"/>
      <c r="I89" s="202"/>
    </row>
    <row r="90" spans="1:9" s="56" customFormat="1">
      <c r="A90" s="56">
        <f t="shared" si="12"/>
        <v>74</v>
      </c>
      <c r="B90" s="330">
        <f t="shared" si="10"/>
        <v>45869</v>
      </c>
      <c r="C90" s="337"/>
      <c r="D90" s="331">
        <f t="shared" si="8"/>
        <v>6669599.3099999931</v>
      </c>
      <c r="E90" s="331">
        <f t="shared" si="7"/>
        <v>96547.24</v>
      </c>
      <c r="F90" s="331">
        <f t="shared" si="6"/>
        <v>40719.756454024959</v>
      </c>
      <c r="G90" s="333">
        <f t="shared" si="11"/>
        <v>137266.99645402498</v>
      </c>
      <c r="H90" s="202"/>
      <c r="I90" s="202"/>
    </row>
    <row r="91" spans="1:9" s="56" customFormat="1">
      <c r="A91" s="56">
        <f t="shared" si="12"/>
        <v>75</v>
      </c>
      <c r="B91" s="330">
        <f t="shared" si="10"/>
        <v>45900</v>
      </c>
      <c r="C91" s="337"/>
      <c r="D91" s="331">
        <f t="shared" si="8"/>
        <v>6573052.0699999928</v>
      </c>
      <c r="E91" s="331">
        <f t="shared" si="7"/>
        <v>96547.24</v>
      </c>
      <c r="F91" s="331">
        <f t="shared" si="6"/>
        <v>40130.308735147184</v>
      </c>
      <c r="G91" s="333">
        <f t="shared" si="11"/>
        <v>136677.5487351472</v>
      </c>
      <c r="H91" s="202"/>
      <c r="I91" s="202"/>
    </row>
    <row r="92" spans="1:9" s="56" customFormat="1">
      <c r="A92" s="56">
        <f t="shared" si="12"/>
        <v>76</v>
      </c>
      <c r="B92" s="330">
        <f t="shared" si="10"/>
        <v>45930</v>
      </c>
      <c r="C92" s="337"/>
      <c r="D92" s="331">
        <f t="shared" si="8"/>
        <v>6476504.8299999926</v>
      </c>
      <c r="E92" s="331">
        <f t="shared" si="7"/>
        <v>96547.24</v>
      </c>
      <c r="F92" s="331">
        <f t="shared" si="6"/>
        <v>38265.349370583295</v>
      </c>
      <c r="G92" s="333">
        <f t="shared" si="11"/>
        <v>134812.5893705833</v>
      </c>
      <c r="H92" s="202"/>
      <c r="I92" s="202"/>
    </row>
    <row r="93" spans="1:9" s="56" customFormat="1">
      <c r="A93" s="56">
        <f t="shared" si="12"/>
        <v>77</v>
      </c>
      <c r="B93" s="330">
        <f t="shared" si="10"/>
        <v>45961</v>
      </c>
      <c r="C93" s="337"/>
      <c r="D93" s="331">
        <f t="shared" si="8"/>
        <v>6379957.5899999924</v>
      </c>
      <c r="E93" s="331">
        <f t="shared" si="7"/>
        <v>96547.24</v>
      </c>
      <c r="F93" s="331">
        <f t="shared" si="6"/>
        <v>38951.41329739162</v>
      </c>
      <c r="G93" s="333">
        <f t="shared" si="11"/>
        <v>135498.65329739163</v>
      </c>
      <c r="H93" s="202"/>
      <c r="I93" s="202"/>
    </row>
    <row r="94" spans="1:9" s="56" customFormat="1">
      <c r="A94" s="56">
        <f t="shared" si="12"/>
        <v>78</v>
      </c>
      <c r="B94" s="330">
        <f t="shared" si="10"/>
        <v>45991</v>
      </c>
      <c r="C94" s="337"/>
      <c r="D94" s="331">
        <f t="shared" si="8"/>
        <v>6283410.3499999922</v>
      </c>
      <c r="E94" s="331">
        <f t="shared" si="7"/>
        <v>96547.24</v>
      </c>
      <c r="F94" s="331">
        <f t="shared" si="6"/>
        <v>37124.482817916622</v>
      </c>
      <c r="G94" s="333">
        <f t="shared" si="11"/>
        <v>133671.72281791663</v>
      </c>
      <c r="H94" s="202"/>
      <c r="I94" s="202"/>
    </row>
    <row r="95" spans="1:9" s="56" customFormat="1">
      <c r="A95" s="56">
        <f t="shared" si="12"/>
        <v>79</v>
      </c>
      <c r="B95" s="334">
        <f t="shared" si="10"/>
        <v>46022</v>
      </c>
      <c r="C95" s="338"/>
      <c r="D95" s="335">
        <f t="shared" si="8"/>
        <v>6186863.109999992</v>
      </c>
      <c r="E95" s="335">
        <f t="shared" si="7"/>
        <v>96547.24</v>
      </c>
      <c r="F95" s="335">
        <f t="shared" si="6"/>
        <v>37772.517859636064</v>
      </c>
      <c r="G95" s="336">
        <f t="shared" si="11"/>
        <v>134319.75785963607</v>
      </c>
      <c r="H95" s="202">
        <f>SUM(E84:E95)</f>
        <v>1158566.8800000001</v>
      </c>
      <c r="I95" s="202">
        <f>SUM(F84:F95)</f>
        <v>482731.79229306342</v>
      </c>
    </row>
    <row r="96" spans="1:9" s="56" customFormat="1">
      <c r="A96" s="56">
        <f t="shared" si="12"/>
        <v>80</v>
      </c>
      <c r="B96" s="330">
        <f t="shared" si="10"/>
        <v>46053</v>
      </c>
      <c r="C96" s="337"/>
      <c r="D96" s="331">
        <f t="shared" si="8"/>
        <v>6090315.8699999917</v>
      </c>
      <c r="E96" s="331">
        <f t="shared" si="7"/>
        <v>96547.24</v>
      </c>
      <c r="F96" s="331">
        <f t="shared" si="6"/>
        <v>37183.070140758282</v>
      </c>
      <c r="G96" s="333">
        <f t="shared" si="11"/>
        <v>133730.31014075829</v>
      </c>
      <c r="H96" s="202"/>
      <c r="I96" s="202"/>
    </row>
    <row r="97" spans="1:9" s="56" customFormat="1">
      <c r="A97" s="56">
        <f t="shared" si="12"/>
        <v>81</v>
      </c>
      <c r="B97" s="330">
        <f t="shared" si="10"/>
        <v>46081</v>
      </c>
      <c r="C97" s="337"/>
      <c r="D97" s="331">
        <f t="shared" si="8"/>
        <v>5993768.6299999915</v>
      </c>
      <c r="E97" s="331">
        <f t="shared" si="7"/>
        <v>96547.24</v>
      </c>
      <c r="F97" s="331">
        <f t="shared" si="6"/>
        <v>33052.30412298884</v>
      </c>
      <c r="G97" s="333">
        <f t="shared" si="11"/>
        <v>129599.54412298885</v>
      </c>
      <c r="H97" s="202"/>
      <c r="I97" s="202"/>
    </row>
    <row r="98" spans="1:9" s="56" customFormat="1">
      <c r="A98" s="56">
        <f t="shared" si="12"/>
        <v>82</v>
      </c>
      <c r="B98" s="330">
        <f t="shared" si="10"/>
        <v>46112</v>
      </c>
      <c r="C98" s="337"/>
      <c r="D98" s="331">
        <f t="shared" si="8"/>
        <v>5897221.3899999913</v>
      </c>
      <c r="E98" s="331">
        <f t="shared" si="7"/>
        <v>96547.24</v>
      </c>
      <c r="F98" s="331">
        <f t="shared" si="6"/>
        <v>36004.174703002725</v>
      </c>
      <c r="G98" s="333">
        <f t="shared" si="11"/>
        <v>132551.41470300272</v>
      </c>
      <c r="H98" s="202"/>
      <c r="I98" s="202"/>
    </row>
    <row r="99" spans="1:9" s="56" customFormat="1">
      <c r="A99" s="56">
        <f t="shared" si="12"/>
        <v>83</v>
      </c>
      <c r="B99" s="330">
        <f t="shared" si="10"/>
        <v>46142</v>
      </c>
      <c r="C99" s="337"/>
      <c r="D99" s="331">
        <f t="shared" si="8"/>
        <v>5800674.1499999911</v>
      </c>
      <c r="E99" s="331">
        <f t="shared" si="7"/>
        <v>96547.24</v>
      </c>
      <c r="F99" s="331">
        <f t="shared" si="6"/>
        <v>34272.316436249952</v>
      </c>
      <c r="G99" s="333">
        <f t="shared" si="11"/>
        <v>130819.55643624996</v>
      </c>
      <c r="H99" s="202"/>
      <c r="I99" s="202"/>
    </row>
    <row r="100" spans="1:9" s="56" customFormat="1">
      <c r="A100" s="56">
        <f t="shared" si="12"/>
        <v>84</v>
      </c>
      <c r="B100" s="330">
        <f t="shared" si="10"/>
        <v>46173</v>
      </c>
      <c r="C100" s="337"/>
      <c r="D100" s="331">
        <f t="shared" si="8"/>
        <v>5704126.9099999908</v>
      </c>
      <c r="E100" s="331">
        <f t="shared" si="7"/>
        <v>96547.24</v>
      </c>
      <c r="F100" s="331">
        <f t="shared" si="6"/>
        <v>34825.279265247169</v>
      </c>
      <c r="G100" s="333">
        <f t="shared" si="11"/>
        <v>131372.51926524716</v>
      </c>
      <c r="H100" s="202"/>
      <c r="I100" s="202"/>
    </row>
    <row r="101" spans="1:9" s="56" customFormat="1">
      <c r="A101" s="56">
        <f t="shared" si="12"/>
        <v>85</v>
      </c>
      <c r="B101" s="330">
        <f t="shared" si="10"/>
        <v>46203</v>
      </c>
      <c r="C101" s="337"/>
      <c r="D101" s="331">
        <f t="shared" si="8"/>
        <v>5607579.6699999906</v>
      </c>
      <c r="E101" s="331">
        <f t="shared" si="7"/>
        <v>96547.24</v>
      </c>
      <c r="F101" s="331">
        <f t="shared" ref="F101:F160" si="13">(B101-B100)*D101*$D$4/360</f>
        <v>33131.449883583278</v>
      </c>
      <c r="G101" s="333">
        <f t="shared" si="11"/>
        <v>129678.68988358328</v>
      </c>
      <c r="H101" s="202"/>
      <c r="I101" s="202"/>
    </row>
    <row r="102" spans="1:9" s="56" customFormat="1">
      <c r="A102" s="56">
        <f t="shared" si="12"/>
        <v>86</v>
      </c>
      <c r="B102" s="330">
        <f t="shared" si="10"/>
        <v>46234</v>
      </c>
      <c r="C102" s="337"/>
      <c r="D102" s="331">
        <f t="shared" si="8"/>
        <v>5511032.4299999904</v>
      </c>
      <c r="E102" s="331">
        <f t="shared" si="7"/>
        <v>96547.24</v>
      </c>
      <c r="F102" s="331">
        <f t="shared" si="13"/>
        <v>33646.383827491612</v>
      </c>
      <c r="G102" s="333">
        <f t="shared" si="11"/>
        <v>130193.62382749162</v>
      </c>
      <c r="H102" s="202"/>
      <c r="I102" s="202"/>
    </row>
    <row r="103" spans="1:9" s="56" customFormat="1">
      <c r="A103" s="56">
        <f t="shared" si="12"/>
        <v>87</v>
      </c>
      <c r="B103" s="330">
        <f t="shared" si="10"/>
        <v>46265</v>
      </c>
      <c r="C103" s="337"/>
      <c r="D103" s="331">
        <f t="shared" si="8"/>
        <v>5414485.1899999902</v>
      </c>
      <c r="E103" s="331">
        <f t="shared" si="7"/>
        <v>96547.24</v>
      </c>
      <c r="F103" s="331">
        <f t="shared" si="13"/>
        <v>33056.936108613831</v>
      </c>
      <c r="G103" s="333">
        <f t="shared" si="11"/>
        <v>129604.17610861384</v>
      </c>
      <c r="H103" s="202"/>
      <c r="I103" s="202"/>
    </row>
    <row r="104" spans="1:9" s="56" customFormat="1">
      <c r="A104" s="56">
        <f t="shared" si="12"/>
        <v>88</v>
      </c>
      <c r="B104" s="330">
        <f t="shared" si="10"/>
        <v>46295</v>
      </c>
      <c r="C104" s="337"/>
      <c r="D104" s="331">
        <f t="shared" si="8"/>
        <v>5317937.9499999899</v>
      </c>
      <c r="E104" s="331">
        <f t="shared" si="7"/>
        <v>96547.24</v>
      </c>
      <c r="F104" s="331">
        <f t="shared" si="13"/>
        <v>31420.150054583275</v>
      </c>
      <c r="G104" s="333">
        <f t="shared" si="11"/>
        <v>127967.39005458329</v>
      </c>
      <c r="H104" s="202"/>
      <c r="I104" s="202"/>
    </row>
    <row r="105" spans="1:9" s="56" customFormat="1">
      <c r="A105" s="56">
        <f t="shared" si="12"/>
        <v>89</v>
      </c>
      <c r="B105" s="330">
        <f t="shared" si="10"/>
        <v>46326</v>
      </c>
      <c r="C105" s="337"/>
      <c r="D105" s="331">
        <f t="shared" si="8"/>
        <v>5221390.7099999897</v>
      </c>
      <c r="E105" s="331">
        <f t="shared" si="7"/>
        <v>96547.24</v>
      </c>
      <c r="F105" s="331">
        <f t="shared" si="13"/>
        <v>31878.040670858278</v>
      </c>
      <c r="G105" s="333">
        <f t="shared" si="11"/>
        <v>128425.28067085828</v>
      </c>
      <c r="H105" s="202"/>
      <c r="I105" s="202"/>
    </row>
    <row r="106" spans="1:9" s="56" customFormat="1">
      <c r="A106" s="56">
        <f t="shared" si="12"/>
        <v>90</v>
      </c>
      <c r="B106" s="330">
        <f t="shared" si="10"/>
        <v>46356</v>
      </c>
      <c r="C106" s="337"/>
      <c r="D106" s="331">
        <f t="shared" si="8"/>
        <v>5124843.4699999895</v>
      </c>
      <c r="E106" s="331">
        <f t="shared" ref="E106:E163" si="14">E105</f>
        <v>96547.24</v>
      </c>
      <c r="F106" s="331">
        <f t="shared" si="13"/>
        <v>30279.283501916605</v>
      </c>
      <c r="G106" s="333">
        <f t="shared" si="11"/>
        <v>126826.52350191661</v>
      </c>
      <c r="H106" s="202"/>
      <c r="I106" s="202"/>
    </row>
    <row r="107" spans="1:9" s="56" customFormat="1">
      <c r="A107" s="56">
        <f t="shared" si="12"/>
        <v>91</v>
      </c>
      <c r="B107" s="334">
        <f t="shared" si="10"/>
        <v>46387</v>
      </c>
      <c r="C107" s="338"/>
      <c r="D107" s="335">
        <f t="shared" ref="D107:D160" si="15">D106-E106</f>
        <v>5028296.2299999893</v>
      </c>
      <c r="E107" s="335">
        <f t="shared" si="14"/>
        <v>96547.24</v>
      </c>
      <c r="F107" s="335">
        <f t="shared" si="13"/>
        <v>30699.14523310271</v>
      </c>
      <c r="G107" s="336">
        <f t="shared" si="11"/>
        <v>127246.38523310272</v>
      </c>
      <c r="H107" s="202">
        <f>SUM(E96:E107)</f>
        <v>1158566.8800000001</v>
      </c>
      <c r="I107" s="202">
        <f>SUM(F96:F107)</f>
        <v>399448.53394839662</v>
      </c>
    </row>
    <row r="108" spans="1:9" s="56" customFormat="1">
      <c r="A108" s="56">
        <f t="shared" si="12"/>
        <v>92</v>
      </c>
      <c r="B108" s="330">
        <f t="shared" si="10"/>
        <v>46418</v>
      </c>
      <c r="C108" s="337"/>
      <c r="D108" s="331">
        <f t="shared" si="15"/>
        <v>4931748.989999989</v>
      </c>
      <c r="E108" s="331">
        <f t="shared" si="14"/>
        <v>96547.24</v>
      </c>
      <c r="F108" s="331">
        <f t="shared" si="13"/>
        <v>30109.697514224936</v>
      </c>
      <c r="G108" s="333">
        <f t="shared" si="11"/>
        <v>126656.93751422493</v>
      </c>
      <c r="H108" s="202"/>
      <c r="I108" s="202"/>
    </row>
    <row r="109" spans="1:9" s="56" customFormat="1">
      <c r="A109" s="56">
        <f t="shared" si="12"/>
        <v>93</v>
      </c>
      <c r="B109" s="330">
        <f t="shared" si="10"/>
        <v>46446</v>
      </c>
      <c r="C109" s="337"/>
      <c r="D109" s="331">
        <f t="shared" si="15"/>
        <v>4835201.7499999888</v>
      </c>
      <c r="E109" s="331">
        <f t="shared" si="14"/>
        <v>96547.24</v>
      </c>
      <c r="F109" s="331">
        <f t="shared" si="13"/>
        <v>26663.451428055498</v>
      </c>
      <c r="G109" s="333">
        <f t="shared" si="11"/>
        <v>123210.69142805551</v>
      </c>
      <c r="H109" s="202"/>
      <c r="I109" s="202"/>
    </row>
    <row r="110" spans="1:9" s="56" customFormat="1">
      <c r="A110" s="56">
        <f t="shared" si="12"/>
        <v>94</v>
      </c>
      <c r="B110" s="330">
        <f t="shared" si="10"/>
        <v>46477</v>
      </c>
      <c r="C110" s="337"/>
      <c r="D110" s="331">
        <f t="shared" si="15"/>
        <v>4738654.5099999886</v>
      </c>
      <c r="E110" s="331">
        <f t="shared" si="14"/>
        <v>96547.24</v>
      </c>
      <c r="F110" s="331">
        <f t="shared" si="13"/>
        <v>28930.802076469376</v>
      </c>
      <c r="G110" s="333">
        <f t="shared" si="11"/>
        <v>125478.04207646938</v>
      </c>
      <c r="H110" s="202"/>
      <c r="I110" s="202"/>
    </row>
    <row r="111" spans="1:9" s="56" customFormat="1">
      <c r="A111" s="56">
        <f t="shared" si="12"/>
        <v>95</v>
      </c>
      <c r="B111" s="330">
        <f t="shared" si="10"/>
        <v>46507</v>
      </c>
      <c r="C111" s="337"/>
      <c r="D111" s="331">
        <f t="shared" si="15"/>
        <v>4642107.2699999884</v>
      </c>
      <c r="E111" s="331">
        <f t="shared" si="14"/>
        <v>96547.24</v>
      </c>
      <c r="F111" s="331">
        <f t="shared" si="13"/>
        <v>27427.117120249935</v>
      </c>
      <c r="G111" s="333">
        <f t="shared" si="11"/>
        <v>123974.35712024994</v>
      </c>
      <c r="H111" s="202"/>
      <c r="I111" s="202"/>
    </row>
    <row r="112" spans="1:9" s="56" customFormat="1">
      <c r="A112" s="56">
        <f t="shared" si="12"/>
        <v>96</v>
      </c>
      <c r="B112" s="330">
        <f t="shared" si="10"/>
        <v>46538</v>
      </c>
      <c r="C112" s="337"/>
      <c r="D112" s="331">
        <f t="shared" si="15"/>
        <v>4545560.0299999882</v>
      </c>
      <c r="E112" s="331">
        <f t="shared" si="14"/>
        <v>96547.24</v>
      </c>
      <c r="F112" s="331">
        <f t="shared" si="13"/>
        <v>27751.906638713819</v>
      </c>
      <c r="G112" s="333">
        <f t="shared" si="11"/>
        <v>124299.14663871382</v>
      </c>
      <c r="H112" s="202"/>
      <c r="I112" s="202"/>
    </row>
    <row r="113" spans="1:9" s="56" customFormat="1">
      <c r="A113" s="56">
        <f t="shared" si="12"/>
        <v>97</v>
      </c>
      <c r="B113" s="330">
        <f t="shared" si="10"/>
        <v>46568</v>
      </c>
      <c r="C113" s="337"/>
      <c r="D113" s="331">
        <f t="shared" si="15"/>
        <v>4449012.7899999879</v>
      </c>
      <c r="E113" s="331">
        <f t="shared" si="14"/>
        <v>96547.24</v>
      </c>
      <c r="F113" s="331">
        <f t="shared" si="13"/>
        <v>26286.250567583265</v>
      </c>
      <c r="G113" s="333">
        <f t="shared" si="11"/>
        <v>122833.49056758327</v>
      </c>
      <c r="H113" s="202"/>
      <c r="I113" s="202"/>
    </row>
    <row r="114" spans="1:9" s="56" customFormat="1">
      <c r="A114" s="56">
        <f t="shared" si="12"/>
        <v>98</v>
      </c>
      <c r="B114" s="330">
        <f t="shared" si="10"/>
        <v>46599</v>
      </c>
      <c r="C114" s="337"/>
      <c r="D114" s="331">
        <f t="shared" si="15"/>
        <v>4352465.5499999877</v>
      </c>
      <c r="E114" s="331">
        <f t="shared" si="14"/>
        <v>96547.24</v>
      </c>
      <c r="F114" s="331">
        <f t="shared" si="13"/>
        <v>26573.011200958263</v>
      </c>
      <c r="G114" s="333">
        <f t="shared" si="11"/>
        <v>123120.25120095827</v>
      </c>
      <c r="H114" s="202"/>
      <c r="I114" s="202"/>
    </row>
    <row r="115" spans="1:9" s="56" customFormat="1">
      <c r="A115" s="56">
        <f t="shared" si="12"/>
        <v>99</v>
      </c>
      <c r="B115" s="330">
        <f t="shared" si="10"/>
        <v>46630</v>
      </c>
      <c r="C115" s="337"/>
      <c r="D115" s="331">
        <f t="shared" si="15"/>
        <v>4255918.3099999875</v>
      </c>
      <c r="E115" s="331">
        <f t="shared" si="14"/>
        <v>96547.24</v>
      </c>
      <c r="F115" s="331">
        <f t="shared" si="13"/>
        <v>25983.563482080484</v>
      </c>
      <c r="G115" s="333">
        <f t="shared" si="11"/>
        <v>122530.80348208049</v>
      </c>
      <c r="H115" s="202"/>
      <c r="I115" s="202"/>
    </row>
    <row r="116" spans="1:9" s="56" customFormat="1">
      <c r="A116" s="56">
        <f t="shared" si="12"/>
        <v>100</v>
      </c>
      <c r="B116" s="330">
        <f t="shared" si="10"/>
        <v>46660</v>
      </c>
      <c r="C116" s="337"/>
      <c r="D116" s="331">
        <f t="shared" si="15"/>
        <v>4159371.0699999873</v>
      </c>
      <c r="E116" s="331">
        <f t="shared" si="14"/>
        <v>96547.24</v>
      </c>
      <c r="F116" s="331">
        <f t="shared" si="13"/>
        <v>24574.950738583262</v>
      </c>
      <c r="G116" s="333">
        <f t="shared" si="11"/>
        <v>121122.19073858327</v>
      </c>
      <c r="H116" s="202"/>
      <c r="I116" s="202"/>
    </row>
    <row r="117" spans="1:9" s="56" customFormat="1">
      <c r="A117" s="56">
        <f t="shared" si="12"/>
        <v>101</v>
      </c>
      <c r="B117" s="330">
        <f t="shared" si="10"/>
        <v>46691</v>
      </c>
      <c r="C117" s="337"/>
      <c r="D117" s="331">
        <f t="shared" si="15"/>
        <v>4062823.829999987</v>
      </c>
      <c r="E117" s="331">
        <f t="shared" si="14"/>
        <v>96547.24</v>
      </c>
      <c r="F117" s="331">
        <f t="shared" si="13"/>
        <v>24804.668044324924</v>
      </c>
      <c r="G117" s="333">
        <f t="shared" si="11"/>
        <v>121351.90804432493</v>
      </c>
      <c r="H117" s="202"/>
      <c r="I117" s="202"/>
    </row>
    <row r="118" spans="1:9" s="56" customFormat="1">
      <c r="A118" s="56">
        <f t="shared" si="12"/>
        <v>102</v>
      </c>
      <c r="B118" s="330">
        <f t="shared" si="10"/>
        <v>46721</v>
      </c>
      <c r="C118" s="337"/>
      <c r="D118" s="331">
        <f t="shared" si="15"/>
        <v>3966276.5899999868</v>
      </c>
      <c r="E118" s="331">
        <f t="shared" si="14"/>
        <v>96547.24</v>
      </c>
      <c r="F118" s="331">
        <f t="shared" si="13"/>
        <v>23434.084185916588</v>
      </c>
      <c r="G118" s="333">
        <f t="shared" si="11"/>
        <v>119981.3241859166</v>
      </c>
      <c r="H118" s="202"/>
      <c r="I118" s="202"/>
    </row>
    <row r="119" spans="1:9" s="56" customFormat="1">
      <c r="A119" s="173">
        <f t="shared" si="12"/>
        <v>103</v>
      </c>
      <c r="B119" s="334">
        <f t="shared" si="10"/>
        <v>46752</v>
      </c>
      <c r="C119" s="338"/>
      <c r="D119" s="335">
        <f t="shared" si="15"/>
        <v>3869729.3499999866</v>
      </c>
      <c r="E119" s="335">
        <f t="shared" si="14"/>
        <v>96547.24</v>
      </c>
      <c r="F119" s="335">
        <f t="shared" si="13"/>
        <v>23625.772606569364</v>
      </c>
      <c r="G119" s="336">
        <f t="shared" si="11"/>
        <v>120173.01260656936</v>
      </c>
      <c r="H119" s="202">
        <f>SUM(E108:E119)</f>
        <v>1158566.8800000001</v>
      </c>
      <c r="I119" s="202">
        <f>SUM(F108:F119)</f>
        <v>316165.27560372971</v>
      </c>
    </row>
    <row r="120" spans="1:9" s="56" customFormat="1">
      <c r="A120" s="56">
        <f t="shared" si="12"/>
        <v>104</v>
      </c>
      <c r="B120" s="330">
        <f t="shared" si="10"/>
        <v>46783</v>
      </c>
      <c r="C120" s="337"/>
      <c r="D120" s="331">
        <f t="shared" si="15"/>
        <v>3773182.1099999864</v>
      </c>
      <c r="E120" s="331">
        <f t="shared" si="14"/>
        <v>96547.24</v>
      </c>
      <c r="F120" s="331">
        <f t="shared" si="13"/>
        <v>23036.324887691586</v>
      </c>
      <c r="G120" s="333">
        <f t="shared" si="11"/>
        <v>119583.56488769159</v>
      </c>
      <c r="H120" s="202"/>
      <c r="I120" s="202"/>
    </row>
    <row r="121" spans="1:9" s="56" customFormat="1">
      <c r="A121" s="56">
        <f t="shared" si="12"/>
        <v>105</v>
      </c>
      <c r="B121" s="330">
        <f t="shared" si="10"/>
        <v>46812</v>
      </c>
      <c r="C121" s="337"/>
      <c r="D121" s="331">
        <f t="shared" si="15"/>
        <v>3676634.8699999861</v>
      </c>
      <c r="E121" s="331">
        <f t="shared" si="14"/>
        <v>96547.24</v>
      </c>
      <c r="F121" s="331">
        <f t="shared" si="13"/>
        <v>20998.69154501937</v>
      </c>
      <c r="G121" s="333">
        <f t="shared" si="11"/>
        <v>117545.93154501938</v>
      </c>
      <c r="H121" s="202"/>
      <c r="I121" s="202"/>
    </row>
    <row r="122" spans="1:9" s="56" customFormat="1">
      <c r="A122" s="56">
        <f t="shared" si="12"/>
        <v>106</v>
      </c>
      <c r="B122" s="330">
        <f t="shared" si="10"/>
        <v>46843</v>
      </c>
      <c r="C122" s="337"/>
      <c r="D122" s="331">
        <f t="shared" si="15"/>
        <v>3580087.6299999859</v>
      </c>
      <c r="E122" s="331">
        <f t="shared" si="14"/>
        <v>96547.24</v>
      </c>
      <c r="F122" s="331">
        <f t="shared" si="13"/>
        <v>21857.429449936029</v>
      </c>
      <c r="G122" s="333">
        <f t="shared" si="11"/>
        <v>118404.66944993603</v>
      </c>
      <c r="H122" s="202"/>
      <c r="I122" s="202"/>
    </row>
    <row r="123" spans="1:9" s="56" customFormat="1">
      <c r="A123" s="56">
        <f t="shared" si="12"/>
        <v>107</v>
      </c>
      <c r="B123" s="330">
        <f t="shared" si="10"/>
        <v>46873</v>
      </c>
      <c r="C123" s="337"/>
      <c r="D123" s="331">
        <f t="shared" si="15"/>
        <v>3483540.3899999857</v>
      </c>
      <c r="E123" s="331">
        <f t="shared" si="14"/>
        <v>96547.24</v>
      </c>
      <c r="F123" s="331">
        <f t="shared" si="13"/>
        <v>20581.917804249915</v>
      </c>
      <c r="G123" s="333">
        <f t="shared" si="11"/>
        <v>117129.15780424992</v>
      </c>
      <c r="H123" s="202"/>
      <c r="I123" s="202"/>
    </row>
    <row r="124" spans="1:9" s="56" customFormat="1">
      <c r="A124" s="56">
        <f t="shared" si="12"/>
        <v>108</v>
      </c>
      <c r="B124" s="330">
        <f t="shared" si="10"/>
        <v>46904</v>
      </c>
      <c r="C124" s="337"/>
      <c r="D124" s="331">
        <f t="shared" si="15"/>
        <v>3386993.1499999855</v>
      </c>
      <c r="E124" s="331">
        <f t="shared" si="14"/>
        <v>96547.24</v>
      </c>
      <c r="F124" s="331">
        <f t="shared" si="13"/>
        <v>20678.534012180466</v>
      </c>
      <c r="G124" s="333">
        <f t="shared" si="11"/>
        <v>117225.77401218047</v>
      </c>
      <c r="H124" s="202"/>
      <c r="I124" s="202"/>
    </row>
    <row r="125" spans="1:9" s="56" customFormat="1">
      <c r="A125" s="56">
        <f t="shared" si="12"/>
        <v>109</v>
      </c>
      <c r="B125" s="330">
        <f t="shared" si="10"/>
        <v>46934</v>
      </c>
      <c r="C125" s="337"/>
      <c r="D125" s="331">
        <f t="shared" si="15"/>
        <v>3290445.9099999852</v>
      </c>
      <c r="E125" s="331">
        <f t="shared" si="14"/>
        <v>96547.24</v>
      </c>
      <c r="F125" s="331">
        <f t="shared" si="13"/>
        <v>19441.051251583249</v>
      </c>
      <c r="G125" s="333">
        <f t="shared" si="11"/>
        <v>115988.29125158326</v>
      </c>
      <c r="H125" s="202"/>
      <c r="I125" s="202"/>
    </row>
    <row r="126" spans="1:9" s="56" customFormat="1">
      <c r="A126" s="56">
        <f t="shared" si="12"/>
        <v>110</v>
      </c>
      <c r="B126" s="330">
        <f t="shared" si="10"/>
        <v>46965</v>
      </c>
      <c r="C126" s="337"/>
      <c r="D126" s="331">
        <f t="shared" si="15"/>
        <v>3193898.669999985</v>
      </c>
      <c r="E126" s="331">
        <f t="shared" si="14"/>
        <v>96547.24</v>
      </c>
      <c r="F126" s="331">
        <f t="shared" si="13"/>
        <v>19499.638574424909</v>
      </c>
      <c r="G126" s="333">
        <f t="shared" si="11"/>
        <v>116046.87857442492</v>
      </c>
      <c r="H126" s="202"/>
      <c r="I126" s="202"/>
    </row>
    <row r="127" spans="1:9" s="56" customFormat="1">
      <c r="A127" s="56">
        <f t="shared" si="12"/>
        <v>111</v>
      </c>
      <c r="B127" s="330">
        <f t="shared" si="10"/>
        <v>46996</v>
      </c>
      <c r="C127" s="337"/>
      <c r="D127" s="331">
        <f t="shared" si="15"/>
        <v>3097351.4299999848</v>
      </c>
      <c r="E127" s="331">
        <f t="shared" si="14"/>
        <v>96547.24</v>
      </c>
      <c r="F127" s="331">
        <f t="shared" si="13"/>
        <v>18910.190855547131</v>
      </c>
      <c r="G127" s="333">
        <f t="shared" si="11"/>
        <v>115457.43085554714</v>
      </c>
      <c r="H127" s="202"/>
      <c r="I127" s="202"/>
    </row>
    <row r="128" spans="1:9" s="56" customFormat="1">
      <c r="A128" s="56">
        <f t="shared" si="12"/>
        <v>112</v>
      </c>
      <c r="B128" s="330">
        <f t="shared" si="10"/>
        <v>47026</v>
      </c>
      <c r="C128" s="337"/>
      <c r="D128" s="331">
        <f t="shared" si="15"/>
        <v>3000804.1899999846</v>
      </c>
      <c r="E128" s="331">
        <f t="shared" si="14"/>
        <v>96547.24</v>
      </c>
      <c r="F128" s="331">
        <f t="shared" si="13"/>
        <v>17729.751422583246</v>
      </c>
      <c r="G128" s="333">
        <f t="shared" si="11"/>
        <v>114276.99142258325</v>
      </c>
      <c r="H128" s="202"/>
      <c r="I128" s="202"/>
    </row>
    <row r="129" spans="1:9" s="56" customFormat="1">
      <c r="A129" s="56">
        <f t="shared" si="12"/>
        <v>113</v>
      </c>
      <c r="B129" s="330">
        <f t="shared" si="10"/>
        <v>47057</v>
      </c>
      <c r="C129" s="337"/>
      <c r="D129" s="331">
        <f t="shared" si="15"/>
        <v>2904256.9499999844</v>
      </c>
      <c r="E129" s="331">
        <f t="shared" si="14"/>
        <v>96547.24</v>
      </c>
      <c r="F129" s="331">
        <f t="shared" si="13"/>
        <v>17731.295417791571</v>
      </c>
      <c r="G129" s="333">
        <f t="shared" si="11"/>
        <v>114278.53541779157</v>
      </c>
      <c r="H129" s="202"/>
      <c r="I129" s="202"/>
    </row>
    <row r="130" spans="1:9" s="56" customFormat="1">
      <c r="A130" s="56">
        <f t="shared" si="12"/>
        <v>114</v>
      </c>
      <c r="B130" s="330">
        <f t="shared" si="10"/>
        <v>47087</v>
      </c>
      <c r="C130" s="337"/>
      <c r="D130" s="331">
        <f t="shared" si="15"/>
        <v>2807709.7099999841</v>
      </c>
      <c r="E130" s="331">
        <f t="shared" si="14"/>
        <v>96547.24</v>
      </c>
      <c r="F130" s="331">
        <f t="shared" si="13"/>
        <v>16588.884869916576</v>
      </c>
      <c r="G130" s="333">
        <f t="shared" si="11"/>
        <v>113136.12486991659</v>
      </c>
      <c r="H130" s="202"/>
      <c r="I130" s="202"/>
    </row>
    <row r="131" spans="1:9" s="56" customFormat="1">
      <c r="A131" s="56">
        <f t="shared" si="12"/>
        <v>115</v>
      </c>
      <c r="B131" s="334">
        <f t="shared" si="10"/>
        <v>47118</v>
      </c>
      <c r="C131" s="338"/>
      <c r="D131" s="335">
        <f t="shared" si="15"/>
        <v>2711162.4699999839</v>
      </c>
      <c r="E131" s="335">
        <f t="shared" si="14"/>
        <v>96547.24</v>
      </c>
      <c r="F131" s="335">
        <f t="shared" si="13"/>
        <v>16552.399980036014</v>
      </c>
      <c r="G131" s="336">
        <f t="shared" si="11"/>
        <v>113099.63998003602</v>
      </c>
      <c r="H131" s="202">
        <f>SUM(E120:E131)</f>
        <v>1158566.8800000001</v>
      </c>
      <c r="I131" s="202">
        <f>SUM(F120:F131)</f>
        <v>233606.11007096004</v>
      </c>
    </row>
    <row r="132" spans="1:9" s="56" customFormat="1">
      <c r="A132" s="56">
        <f t="shared" si="12"/>
        <v>116</v>
      </c>
      <c r="B132" s="330">
        <f t="shared" si="10"/>
        <v>47149</v>
      </c>
      <c r="C132" s="337"/>
      <c r="D132" s="331">
        <f t="shared" si="15"/>
        <v>2614615.2299999837</v>
      </c>
      <c r="E132" s="331">
        <f t="shared" si="14"/>
        <v>96547.24</v>
      </c>
      <c r="F132" s="331">
        <f t="shared" si="13"/>
        <v>15962.952261158234</v>
      </c>
      <c r="G132" s="333">
        <f t="shared" si="11"/>
        <v>112510.19226115824</v>
      </c>
      <c r="H132" s="202"/>
      <c r="I132" s="202"/>
    </row>
    <row r="133" spans="1:9" s="56" customFormat="1">
      <c r="A133" s="56">
        <f t="shared" si="12"/>
        <v>117</v>
      </c>
      <c r="B133" s="330">
        <f t="shared" si="10"/>
        <v>47177</v>
      </c>
      <c r="C133" s="337"/>
      <c r="D133" s="331">
        <f t="shared" si="15"/>
        <v>2518067.9899999835</v>
      </c>
      <c r="E133" s="331">
        <f t="shared" si="14"/>
        <v>96547.24</v>
      </c>
      <c r="F133" s="331">
        <f t="shared" si="13"/>
        <v>13885.746038188798</v>
      </c>
      <c r="G133" s="333">
        <f t="shared" si="11"/>
        <v>110432.9860381888</v>
      </c>
      <c r="H133" s="202"/>
      <c r="I133" s="202"/>
    </row>
    <row r="134" spans="1:9" s="56" customFormat="1">
      <c r="A134" s="56">
        <f t="shared" si="12"/>
        <v>118</v>
      </c>
      <c r="B134" s="330">
        <f t="shared" si="10"/>
        <v>47208</v>
      </c>
      <c r="C134" s="337"/>
      <c r="D134" s="331">
        <f t="shared" si="15"/>
        <v>2421520.7499999832</v>
      </c>
      <c r="E134" s="331">
        <f t="shared" si="14"/>
        <v>96547.24</v>
      </c>
      <c r="F134" s="331">
        <f t="shared" si="13"/>
        <v>14784.056823402676</v>
      </c>
      <c r="G134" s="333">
        <f t="shared" si="11"/>
        <v>111331.29682340268</v>
      </c>
      <c r="H134" s="202"/>
      <c r="I134" s="202"/>
    </row>
    <row r="135" spans="1:9" s="56" customFormat="1">
      <c r="A135" s="56">
        <f t="shared" si="12"/>
        <v>119</v>
      </c>
      <c r="B135" s="330">
        <f t="shared" si="10"/>
        <v>47238</v>
      </c>
      <c r="C135" s="337"/>
      <c r="D135" s="331">
        <f t="shared" si="15"/>
        <v>2324973.509999983</v>
      </c>
      <c r="E135" s="331">
        <f t="shared" si="14"/>
        <v>96547.24</v>
      </c>
      <c r="F135" s="331">
        <f t="shared" si="13"/>
        <v>13736.718488249899</v>
      </c>
      <c r="G135" s="333">
        <f t="shared" si="11"/>
        <v>110283.9584882499</v>
      </c>
      <c r="H135" s="202"/>
      <c r="I135" s="202"/>
    </row>
    <row r="136" spans="1:9" s="56" customFormat="1">
      <c r="A136" s="56">
        <f t="shared" si="12"/>
        <v>120</v>
      </c>
      <c r="B136" s="330">
        <f t="shared" si="10"/>
        <v>47269</v>
      </c>
      <c r="C136" s="337"/>
      <c r="D136" s="331">
        <f t="shared" si="15"/>
        <v>2228426.2699999828</v>
      </c>
      <c r="E136" s="331">
        <f t="shared" si="14"/>
        <v>96547.24</v>
      </c>
      <c r="F136" s="331">
        <f t="shared" si="13"/>
        <v>13605.161385647119</v>
      </c>
      <c r="G136" s="333">
        <f t="shared" si="11"/>
        <v>110152.40138564713</v>
      </c>
      <c r="H136" s="202"/>
      <c r="I136" s="202"/>
    </row>
    <row r="137" spans="1:9" s="56" customFormat="1">
      <c r="A137" s="56">
        <f t="shared" si="12"/>
        <v>121</v>
      </c>
      <c r="B137" s="330">
        <f t="shared" si="10"/>
        <v>47299</v>
      </c>
      <c r="C137" s="337"/>
      <c r="D137" s="331">
        <f t="shared" si="15"/>
        <v>2131879.0299999826</v>
      </c>
      <c r="E137" s="331">
        <f t="shared" si="14"/>
        <v>96547.24</v>
      </c>
      <c r="F137" s="331">
        <f t="shared" si="13"/>
        <v>12595.851935583232</v>
      </c>
      <c r="G137" s="333">
        <f t="shared" si="11"/>
        <v>109143.09193558324</v>
      </c>
      <c r="H137" s="202"/>
      <c r="I137" s="202"/>
    </row>
    <row r="138" spans="1:9" s="56" customFormat="1">
      <c r="A138" s="56">
        <f t="shared" si="12"/>
        <v>122</v>
      </c>
      <c r="B138" s="330">
        <f t="shared" si="10"/>
        <v>47330</v>
      </c>
      <c r="C138" s="337"/>
      <c r="D138" s="331">
        <f t="shared" si="15"/>
        <v>2035331.7899999826</v>
      </c>
      <c r="E138" s="331">
        <f t="shared" si="14"/>
        <v>96547.24</v>
      </c>
      <c r="F138" s="331">
        <f t="shared" si="13"/>
        <v>12426.265947891559</v>
      </c>
      <c r="G138" s="333">
        <f t="shared" si="11"/>
        <v>108973.50594789156</v>
      </c>
      <c r="H138" s="202"/>
      <c r="I138" s="202"/>
    </row>
    <row r="139" spans="1:9" s="56" customFormat="1">
      <c r="A139" s="56">
        <f t="shared" si="12"/>
        <v>123</v>
      </c>
      <c r="B139" s="330">
        <f t="shared" si="10"/>
        <v>47361</v>
      </c>
      <c r="C139" s="337"/>
      <c r="D139" s="331">
        <f t="shared" si="15"/>
        <v>1938784.5499999826</v>
      </c>
      <c r="E139" s="331">
        <f t="shared" si="14"/>
        <v>96547.24</v>
      </c>
      <c r="F139" s="331">
        <f t="shared" si="13"/>
        <v>11836.818229013783</v>
      </c>
      <c r="G139" s="333">
        <f t="shared" si="11"/>
        <v>108384.05822901378</v>
      </c>
      <c r="H139" s="202"/>
      <c r="I139" s="202"/>
    </row>
    <row r="140" spans="1:9" s="56" customFormat="1">
      <c r="A140" s="56">
        <f t="shared" si="12"/>
        <v>124</v>
      </c>
      <c r="B140" s="330">
        <f t="shared" si="10"/>
        <v>47391</v>
      </c>
      <c r="C140" s="337"/>
      <c r="D140" s="331">
        <f t="shared" si="15"/>
        <v>1842237.3099999826</v>
      </c>
      <c r="E140" s="331">
        <f>E139-16449.97</f>
        <v>80097.27</v>
      </c>
      <c r="F140" s="331">
        <f t="shared" si="13"/>
        <v>10884.552106583231</v>
      </c>
      <c r="G140" s="333">
        <f t="shared" si="11"/>
        <v>90981.822106583233</v>
      </c>
      <c r="H140" s="202"/>
      <c r="I140" s="202"/>
    </row>
    <row r="141" spans="1:9" s="56" customFormat="1">
      <c r="A141" s="56">
        <f t="shared" si="12"/>
        <v>125</v>
      </c>
      <c r="B141" s="330">
        <f t="shared" si="10"/>
        <v>47422</v>
      </c>
      <c r="C141" s="337"/>
      <c r="D141" s="331">
        <f t="shared" si="15"/>
        <v>1762140.0399999826</v>
      </c>
      <c r="E141" s="331">
        <f t="shared" si="14"/>
        <v>80097.27</v>
      </c>
      <c r="F141" s="331">
        <f t="shared" si="13"/>
        <v>10758.354427544338</v>
      </c>
      <c r="G141" s="333">
        <f t="shared" si="11"/>
        <v>90855.624427544346</v>
      </c>
      <c r="H141" s="202"/>
      <c r="I141" s="202"/>
    </row>
    <row r="142" spans="1:9" s="56" customFormat="1">
      <c r="A142" s="56">
        <f t="shared" si="12"/>
        <v>126</v>
      </c>
      <c r="B142" s="330">
        <f t="shared" ref="B142:B163" si="16">EOMONTH(B141,1)</f>
        <v>47452</v>
      </c>
      <c r="C142" s="337"/>
      <c r="D142" s="331">
        <f t="shared" si="15"/>
        <v>1682042.7699999826</v>
      </c>
      <c r="E142" s="331">
        <f t="shared" si="14"/>
        <v>80097.27</v>
      </c>
      <c r="F142" s="331">
        <f t="shared" si="13"/>
        <v>9938.0693660832312</v>
      </c>
      <c r="G142" s="333">
        <f t="shared" si="11"/>
        <v>90035.339366083237</v>
      </c>
      <c r="H142" s="202"/>
      <c r="I142" s="202"/>
    </row>
    <row r="143" spans="1:9" s="56" customFormat="1">
      <c r="A143" s="56">
        <f t="shared" si="12"/>
        <v>127</v>
      </c>
      <c r="B143" s="334">
        <f t="shared" si="16"/>
        <v>47483</v>
      </c>
      <c r="C143" s="338"/>
      <c r="D143" s="335">
        <f t="shared" si="15"/>
        <v>1601945.4999999825</v>
      </c>
      <c r="E143" s="335">
        <f t="shared" si="14"/>
        <v>80097.27</v>
      </c>
      <c r="F143" s="335">
        <f t="shared" si="13"/>
        <v>9780.3222623610036</v>
      </c>
      <c r="G143" s="336">
        <f t="shared" si="11"/>
        <v>89877.592262361009</v>
      </c>
      <c r="H143" s="202">
        <f>SUM(E132:E143)</f>
        <v>1092767</v>
      </c>
      <c r="I143" s="202">
        <f>SUM(F132:F143)</f>
        <v>150194.86927170708</v>
      </c>
    </row>
    <row r="144" spans="1:9" s="56" customFormat="1">
      <c r="A144" s="56">
        <f t="shared" si="12"/>
        <v>128</v>
      </c>
      <c r="B144" s="330">
        <f t="shared" si="16"/>
        <v>47514</v>
      </c>
      <c r="C144" s="337"/>
      <c r="D144" s="331">
        <f t="shared" si="15"/>
        <v>1521848.2299999825</v>
      </c>
      <c r="E144" s="331">
        <f t="shared" si="14"/>
        <v>80097.27</v>
      </c>
      <c r="F144" s="331">
        <f t="shared" si="13"/>
        <v>9291.306179769339</v>
      </c>
      <c r="G144" s="333">
        <f t="shared" si="11"/>
        <v>89388.576179769341</v>
      </c>
      <c r="H144" s="202"/>
      <c r="I144" s="202"/>
    </row>
    <row r="145" spans="1:9" s="56" customFormat="1">
      <c r="A145" s="56">
        <f t="shared" si="12"/>
        <v>129</v>
      </c>
      <c r="B145" s="330">
        <f t="shared" si="16"/>
        <v>47542</v>
      </c>
      <c r="C145" s="337"/>
      <c r="D145" s="331">
        <f t="shared" si="15"/>
        <v>1441750.9599999825</v>
      </c>
      <c r="E145" s="331">
        <f t="shared" si="14"/>
        <v>80097.27</v>
      </c>
      <c r="F145" s="331">
        <f t="shared" si="13"/>
        <v>7950.4555716443483</v>
      </c>
      <c r="G145" s="333">
        <f t="shared" ref="G145:G160" si="17">E145+F145</f>
        <v>88047.725571644347</v>
      </c>
      <c r="H145" s="202"/>
      <c r="I145" s="202"/>
    </row>
    <row r="146" spans="1:9" s="56" customFormat="1">
      <c r="A146" s="56">
        <f t="shared" ref="A146:A163" si="18">A145+1</f>
        <v>130</v>
      </c>
      <c r="B146" s="330">
        <f t="shared" si="16"/>
        <v>47573</v>
      </c>
      <c r="C146" s="337"/>
      <c r="D146" s="331">
        <f t="shared" si="15"/>
        <v>1361653.6899999825</v>
      </c>
      <c r="E146" s="331">
        <f t="shared" si="14"/>
        <v>80097.27</v>
      </c>
      <c r="F146" s="331">
        <f t="shared" si="13"/>
        <v>8313.2740145860043</v>
      </c>
      <c r="G146" s="333">
        <f t="shared" si="17"/>
        <v>88410.544014586005</v>
      </c>
      <c r="H146" s="202"/>
      <c r="I146" s="202"/>
    </row>
    <row r="147" spans="1:9" s="56" customFormat="1">
      <c r="A147" s="56">
        <f t="shared" si="18"/>
        <v>131</v>
      </c>
      <c r="B147" s="330">
        <f t="shared" si="16"/>
        <v>47603</v>
      </c>
      <c r="C147" s="337"/>
      <c r="D147" s="331">
        <f t="shared" si="15"/>
        <v>1281556.4199999825</v>
      </c>
      <c r="E147" s="331">
        <f t="shared" si="14"/>
        <v>80097.27</v>
      </c>
      <c r="F147" s="331">
        <f t="shared" si="13"/>
        <v>7571.8625148332303</v>
      </c>
      <c r="G147" s="333">
        <f t="shared" si="17"/>
        <v>87669.13251483324</v>
      </c>
      <c r="H147" s="202"/>
      <c r="I147" s="202"/>
    </row>
    <row r="148" spans="1:9" s="56" customFormat="1">
      <c r="A148" s="56">
        <f t="shared" si="18"/>
        <v>132</v>
      </c>
      <c r="B148" s="330">
        <f t="shared" si="16"/>
        <v>47634</v>
      </c>
      <c r="C148" s="337"/>
      <c r="D148" s="331">
        <f t="shared" si="15"/>
        <v>1201459.1499999824</v>
      </c>
      <c r="E148" s="331">
        <f t="shared" si="14"/>
        <v>80097.27</v>
      </c>
      <c r="F148" s="331">
        <f t="shared" si="13"/>
        <v>7335.2418494026706</v>
      </c>
      <c r="G148" s="333">
        <f t="shared" si="17"/>
        <v>87432.511849402668</v>
      </c>
      <c r="H148" s="202"/>
      <c r="I148" s="202"/>
    </row>
    <row r="149" spans="1:9" s="56" customFormat="1">
      <c r="A149" s="56">
        <f t="shared" si="18"/>
        <v>133</v>
      </c>
      <c r="B149" s="330">
        <f t="shared" si="16"/>
        <v>47664</v>
      </c>
      <c r="C149" s="337"/>
      <c r="D149" s="331">
        <f t="shared" si="15"/>
        <v>1121361.8799999824</v>
      </c>
      <c r="E149" s="331">
        <f t="shared" si="14"/>
        <v>80097.27</v>
      </c>
      <c r="F149" s="331">
        <f t="shared" si="13"/>
        <v>6625.3797743332289</v>
      </c>
      <c r="G149" s="333">
        <f t="shared" si="17"/>
        <v>86722.649774333229</v>
      </c>
      <c r="H149" s="202"/>
      <c r="I149" s="202"/>
    </row>
    <row r="150" spans="1:9" s="56" customFormat="1">
      <c r="A150" s="56">
        <f t="shared" si="18"/>
        <v>134</v>
      </c>
      <c r="B150" s="330">
        <f t="shared" si="16"/>
        <v>47695</v>
      </c>
      <c r="C150" s="337"/>
      <c r="D150" s="331">
        <f t="shared" si="15"/>
        <v>1041264.6099999824</v>
      </c>
      <c r="E150" s="331">
        <f t="shared" si="14"/>
        <v>80097.27</v>
      </c>
      <c r="F150" s="331">
        <f t="shared" si="13"/>
        <v>6357.2096842193378</v>
      </c>
      <c r="G150" s="333">
        <f t="shared" si="17"/>
        <v>86454.479684219346</v>
      </c>
      <c r="H150" s="202"/>
      <c r="I150" s="202"/>
    </row>
    <row r="151" spans="1:9" s="56" customFormat="1">
      <c r="A151" s="56">
        <f t="shared" si="18"/>
        <v>135</v>
      </c>
      <c r="B151" s="330">
        <f t="shared" si="16"/>
        <v>47726</v>
      </c>
      <c r="C151" s="337"/>
      <c r="D151" s="331">
        <f t="shared" si="15"/>
        <v>961167.33999998239</v>
      </c>
      <c r="E151" s="331">
        <f t="shared" si="14"/>
        <v>80097.27</v>
      </c>
      <c r="F151" s="331">
        <f t="shared" si="13"/>
        <v>5868.1936016276713</v>
      </c>
      <c r="G151" s="333">
        <f t="shared" si="17"/>
        <v>85965.463601627678</v>
      </c>
      <c r="H151" s="202"/>
      <c r="I151" s="202"/>
    </row>
    <row r="152" spans="1:9" s="56" customFormat="1">
      <c r="A152" s="56">
        <f t="shared" si="18"/>
        <v>136</v>
      </c>
      <c r="B152" s="330">
        <f t="shared" si="16"/>
        <v>47756</v>
      </c>
      <c r="C152" s="337"/>
      <c r="D152" s="331">
        <f t="shared" si="15"/>
        <v>881070.06999998237</v>
      </c>
      <c r="E152" s="331">
        <f t="shared" si="14"/>
        <v>80097.27</v>
      </c>
      <c r="F152" s="331">
        <f t="shared" si="13"/>
        <v>5205.6556635832294</v>
      </c>
      <c r="G152" s="333">
        <f t="shared" si="17"/>
        <v>85302.925663583228</v>
      </c>
      <c r="H152" s="202"/>
      <c r="I152" s="202"/>
    </row>
    <row r="153" spans="1:9" s="56" customFormat="1">
      <c r="A153" s="56">
        <f t="shared" si="18"/>
        <v>137</v>
      </c>
      <c r="B153" s="330">
        <f t="shared" si="16"/>
        <v>47787</v>
      </c>
      <c r="C153" s="337"/>
      <c r="D153" s="331">
        <f t="shared" si="15"/>
        <v>800972.79999998235</v>
      </c>
      <c r="E153" s="331">
        <f t="shared" si="14"/>
        <v>80097.27</v>
      </c>
      <c r="F153" s="331">
        <f t="shared" si="13"/>
        <v>4890.1614364443376</v>
      </c>
      <c r="G153" s="333">
        <f t="shared" si="17"/>
        <v>84987.431436444342</v>
      </c>
      <c r="H153" s="202"/>
      <c r="I153" s="202"/>
    </row>
    <row r="154" spans="1:9" s="56" customFormat="1">
      <c r="A154" s="56">
        <f t="shared" si="18"/>
        <v>138</v>
      </c>
      <c r="B154" s="330">
        <f t="shared" si="16"/>
        <v>47817</v>
      </c>
      <c r="C154" s="337"/>
      <c r="D154" s="331">
        <f t="shared" si="15"/>
        <v>720875.52999998233</v>
      </c>
      <c r="E154" s="331">
        <f t="shared" si="14"/>
        <v>80097.27</v>
      </c>
      <c r="F154" s="331">
        <f t="shared" si="13"/>
        <v>4259.1729230832289</v>
      </c>
      <c r="G154" s="333">
        <f t="shared" si="17"/>
        <v>84356.442923083232</v>
      </c>
      <c r="H154" s="202"/>
      <c r="I154" s="202"/>
    </row>
    <row r="155" spans="1:9" s="56" customFormat="1">
      <c r="A155" s="56">
        <f t="shared" si="18"/>
        <v>139</v>
      </c>
      <c r="B155" s="334">
        <f t="shared" si="16"/>
        <v>47848</v>
      </c>
      <c r="C155" s="335"/>
      <c r="D155" s="335">
        <f t="shared" si="15"/>
        <v>640778.25999998231</v>
      </c>
      <c r="E155" s="335">
        <f t="shared" si="14"/>
        <v>80097.27</v>
      </c>
      <c r="F155" s="335">
        <f t="shared" si="13"/>
        <v>3912.1292712610034</v>
      </c>
      <c r="G155" s="336">
        <f t="shared" si="17"/>
        <v>84009.399271261005</v>
      </c>
      <c r="H155" s="202">
        <f>SUM(E144:E155)</f>
        <v>961167.24000000011</v>
      </c>
      <c r="I155" s="202">
        <f>SUM(F144:F155)</f>
        <v>77580.042484787627</v>
      </c>
    </row>
    <row r="156" spans="1:9" s="56" customFormat="1">
      <c r="A156" s="56">
        <f t="shared" si="18"/>
        <v>140</v>
      </c>
      <c r="B156" s="330">
        <f t="shared" si="16"/>
        <v>47879</v>
      </c>
      <c r="C156" s="331"/>
      <c r="D156" s="331">
        <f t="shared" si="15"/>
        <v>560680.9899999823</v>
      </c>
      <c r="E156" s="331">
        <f t="shared" si="14"/>
        <v>80097.27</v>
      </c>
      <c r="F156" s="331">
        <f t="shared" si="13"/>
        <v>3423.1131886693365</v>
      </c>
      <c r="G156" s="333">
        <f t="shared" si="17"/>
        <v>83520.383188669337</v>
      </c>
      <c r="H156" s="202"/>
      <c r="I156" s="202"/>
    </row>
    <row r="157" spans="1:9" s="56" customFormat="1">
      <c r="A157" s="56">
        <f t="shared" si="18"/>
        <v>141</v>
      </c>
      <c r="B157" s="330">
        <f t="shared" si="16"/>
        <v>47907</v>
      </c>
      <c r="C157" s="331"/>
      <c r="D157" s="331">
        <f t="shared" si="15"/>
        <v>480583.71999998228</v>
      </c>
      <c r="E157" s="331">
        <f t="shared" si="14"/>
        <v>80097.27</v>
      </c>
      <c r="F157" s="331">
        <f t="shared" si="13"/>
        <v>2650.1522248443471</v>
      </c>
      <c r="G157" s="333">
        <f t="shared" si="17"/>
        <v>82747.422224844355</v>
      </c>
      <c r="H157" s="202"/>
      <c r="I157" s="202"/>
    </row>
    <row r="158" spans="1:9" s="56" customFormat="1">
      <c r="A158" s="56">
        <f t="shared" si="18"/>
        <v>142</v>
      </c>
      <c r="B158" s="330">
        <f t="shared" si="16"/>
        <v>47938</v>
      </c>
      <c r="C158" s="331"/>
      <c r="D158" s="331">
        <f t="shared" si="15"/>
        <v>400486.44999998226</v>
      </c>
      <c r="E158" s="331">
        <f t="shared" si="14"/>
        <v>80097.27</v>
      </c>
      <c r="F158" s="331">
        <f t="shared" si="13"/>
        <v>2445.0810234860028</v>
      </c>
      <c r="G158" s="333">
        <f t="shared" si="17"/>
        <v>82542.351023486</v>
      </c>
      <c r="H158" s="202"/>
      <c r="I158" s="202"/>
    </row>
    <row r="159" spans="1:9" s="113" customFormat="1">
      <c r="A159" s="113">
        <f t="shared" si="18"/>
        <v>143</v>
      </c>
      <c r="B159" s="344">
        <f t="shared" si="16"/>
        <v>47968</v>
      </c>
      <c r="C159" s="345"/>
      <c r="D159" s="345">
        <f t="shared" si="15"/>
        <v>320389.17999998224</v>
      </c>
      <c r="E159" s="345">
        <f t="shared" si="14"/>
        <v>80097.27</v>
      </c>
      <c r="F159" s="345">
        <f t="shared" si="13"/>
        <v>1892.9660718332286</v>
      </c>
      <c r="G159" s="346">
        <f t="shared" si="17"/>
        <v>81990.236071833235</v>
      </c>
      <c r="H159" s="314"/>
      <c r="I159" s="314"/>
    </row>
    <row r="160" spans="1:9" s="56" customFormat="1">
      <c r="A160" s="113">
        <f t="shared" si="18"/>
        <v>144</v>
      </c>
      <c r="B160" s="344">
        <f t="shared" si="16"/>
        <v>47999</v>
      </c>
      <c r="C160" s="345"/>
      <c r="D160" s="345">
        <f t="shared" si="15"/>
        <v>240291.90999998222</v>
      </c>
      <c r="E160" s="345">
        <f t="shared" si="14"/>
        <v>80097.27</v>
      </c>
      <c r="F160" s="345">
        <f t="shared" si="13"/>
        <v>1467.0488583026693</v>
      </c>
      <c r="G160" s="333">
        <f t="shared" si="17"/>
        <v>81564.318858302679</v>
      </c>
      <c r="H160" s="202"/>
      <c r="I160" s="202"/>
    </row>
    <row r="161" spans="1:9" s="56" customFormat="1">
      <c r="A161" s="113">
        <f t="shared" si="18"/>
        <v>145</v>
      </c>
      <c r="B161" s="344">
        <f t="shared" si="16"/>
        <v>48029</v>
      </c>
      <c r="C161" s="345"/>
      <c r="D161" s="345">
        <f t="shared" ref="D161" si="19">D160-E160</f>
        <v>160194.6399999822</v>
      </c>
      <c r="E161" s="345">
        <f t="shared" si="14"/>
        <v>80097.27</v>
      </c>
      <c r="F161" s="345">
        <f t="shared" ref="F161:F163" si="20">(B161-B160)*D161*$D$4/360</f>
        <v>946.48333133322842</v>
      </c>
      <c r="G161" s="333">
        <f t="shared" ref="G161:G163" si="21">E161+F161</f>
        <v>81043.753331333239</v>
      </c>
      <c r="H161" s="202"/>
      <c r="I161" s="202"/>
    </row>
    <row r="162" spans="1:9" s="56" customFormat="1">
      <c r="A162" s="113">
        <f t="shared" si="18"/>
        <v>146</v>
      </c>
      <c r="B162" s="344">
        <f t="shared" si="16"/>
        <v>48060</v>
      </c>
      <c r="C162" s="345"/>
      <c r="D162" s="345">
        <f>D161-E161</f>
        <v>80097.369999982198</v>
      </c>
      <c r="E162" s="345">
        <f>E161+0.1</f>
        <v>80097.37000000001</v>
      </c>
      <c r="F162" s="345">
        <f t="shared" si="20"/>
        <v>489.01669311933574</v>
      </c>
      <c r="G162" s="333">
        <f t="shared" si="21"/>
        <v>80586.386693119348</v>
      </c>
      <c r="H162" s="202"/>
      <c r="I162" s="202"/>
    </row>
    <row r="163" spans="1:9" s="56" customFormat="1">
      <c r="A163" s="113">
        <f t="shared" si="18"/>
        <v>147</v>
      </c>
      <c r="B163" s="344">
        <f t="shared" si="16"/>
        <v>48091</v>
      </c>
      <c r="C163" s="345"/>
      <c r="D163" s="345">
        <f>D162-E162</f>
        <v>-1.7811544239521027E-8</v>
      </c>
      <c r="E163" s="345">
        <f t="shared" si="14"/>
        <v>80097.37000000001</v>
      </c>
      <c r="F163" s="345">
        <f t="shared" si="20"/>
        <v>-1.0874442523345352E-10</v>
      </c>
      <c r="G163" s="333">
        <f t="shared" si="21"/>
        <v>80097.369999999908</v>
      </c>
      <c r="H163" s="202"/>
      <c r="I163" s="202"/>
    </row>
    <row r="164" spans="1:9" s="56" customFormat="1" ht="13.8" thickBot="1">
      <c r="B164" s="339" t="s">
        <v>40</v>
      </c>
      <c r="C164" s="340"/>
      <c r="D164" s="340"/>
      <c r="E164" s="341">
        <f>SUM(E48:E163)</f>
        <v>10804680.760000004</v>
      </c>
      <c r="F164" s="341">
        <f>SUM(F48:F163)</f>
        <v>3622572.1980654551</v>
      </c>
      <c r="G164" s="342">
        <f>SUM(G19:G160)</f>
        <v>15491556.470098991</v>
      </c>
      <c r="H164" s="202">
        <f>SUM(E156:E163)</f>
        <v>640778.3600000001</v>
      </c>
      <c r="I164" s="202">
        <f>SUM(F156:F163)</f>
        <v>13313.861391588041</v>
      </c>
    </row>
    <row r="165" spans="1:9">
      <c r="B165" s="343" t="s">
        <v>147</v>
      </c>
      <c r="H165" s="200"/>
      <c r="I165" s="200"/>
    </row>
    <row r="166" spans="1:9">
      <c r="B166" s="343" t="s">
        <v>145</v>
      </c>
      <c r="H166" s="200"/>
      <c r="I166" s="200"/>
    </row>
    <row r="167" spans="1:9">
      <c r="H167" s="200">
        <f>SUM(H164,H155,H143,H131,H119,H107,H95,H83,H71,H59)</f>
        <v>10804680.760000002</v>
      </c>
      <c r="I167" s="200">
        <f>SUM(I164,I155,I143,I131,I119,I107,I95,I83,I71,I59)</f>
        <v>3622572.1980654541</v>
      </c>
    </row>
    <row r="168" spans="1:9">
      <c r="B168" s="230" t="s">
        <v>41</v>
      </c>
      <c r="C168" s="200">
        <f>E164</f>
        <v>10804680.760000004</v>
      </c>
    </row>
    <row r="169" spans="1:9">
      <c r="B169" s="230" t="s">
        <v>16</v>
      </c>
      <c r="C169" s="200">
        <f>F164</f>
        <v>3622572.1980654551</v>
      </c>
    </row>
    <row r="170" spans="1:9">
      <c r="B170" s="230" t="s">
        <v>17</v>
      </c>
      <c r="C170" s="200">
        <v>0</v>
      </c>
    </row>
    <row r="172" spans="1:9">
      <c r="B172" s="230" t="s">
        <v>40</v>
      </c>
      <c r="C172" s="200">
        <f>C168+C169+C170</f>
        <v>14427252.958065458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375"/>
  <sheetViews>
    <sheetView topLeftCell="A72" workbookViewId="0">
      <selection activeCell="F53" sqref="F53"/>
    </sheetView>
  </sheetViews>
  <sheetFormatPr defaultColWidth="9.33203125" defaultRowHeight="14.4"/>
  <cols>
    <col min="1" max="1" width="4.6640625" style="250" bestFit="1" customWidth="1"/>
    <col min="2" max="2" width="11.77734375" style="249" bestFit="1" customWidth="1"/>
    <col min="3" max="3" width="11.77734375" style="249" hidden="1" customWidth="1"/>
    <col min="4" max="4" width="17.33203125" style="249" customWidth="1"/>
    <col min="5" max="6" width="16.6640625" style="250" bestFit="1" customWidth="1"/>
    <col min="7" max="7" width="16.6640625" style="251" bestFit="1" customWidth="1"/>
    <col min="8" max="8" width="15.44140625" style="251" customWidth="1"/>
    <col min="9" max="9" width="16.6640625" style="250" bestFit="1" customWidth="1"/>
    <col min="10" max="10" width="9.33203125" style="250"/>
    <col min="11" max="11" width="16.6640625" style="250" bestFit="1" customWidth="1"/>
    <col min="12" max="12" width="15.44140625" style="250" bestFit="1" customWidth="1"/>
    <col min="13" max="13" width="9.33203125" style="250"/>
    <col min="14" max="14" width="15.6640625" style="250" bestFit="1" customWidth="1"/>
    <col min="15" max="15" width="16.77734375" style="250" bestFit="1" customWidth="1"/>
    <col min="16" max="16" width="18.77734375" style="250" bestFit="1" customWidth="1"/>
    <col min="17" max="25" width="19" style="250" bestFit="1" customWidth="1"/>
    <col min="26" max="26" width="16.77734375" style="250" bestFit="1" customWidth="1"/>
    <col min="27" max="29" width="9.33203125" style="250"/>
    <col min="30" max="30" width="20" style="250" bestFit="1" customWidth="1"/>
    <col min="31" max="16384" width="9.33203125" style="250"/>
  </cols>
  <sheetData>
    <row r="1" spans="2:30" hidden="1">
      <c r="B1" s="249" t="s">
        <v>95</v>
      </c>
      <c r="E1" s="250">
        <v>4.55</v>
      </c>
    </row>
    <row r="2" spans="2:30">
      <c r="F2" s="250">
        <v>10391867.199999999</v>
      </c>
    </row>
    <row r="3" spans="2:30">
      <c r="B3" s="384" t="s">
        <v>129</v>
      </c>
      <c r="C3" s="384"/>
      <c r="D3" s="384"/>
      <c r="E3" s="384"/>
      <c r="F3" s="384"/>
      <c r="G3" s="384"/>
      <c r="H3" s="384"/>
      <c r="I3" s="384"/>
    </row>
    <row r="4" spans="2:30">
      <c r="B4" s="252" t="s">
        <v>96</v>
      </c>
      <c r="E4" s="251">
        <v>10391867.199999999</v>
      </c>
      <c r="F4" s="253" t="s">
        <v>97</v>
      </c>
      <c r="N4" s="250">
        <v>2021</v>
      </c>
      <c r="O4" s="250">
        <f>N4+1</f>
        <v>2022</v>
      </c>
      <c r="P4" s="250">
        <f t="shared" ref="P4:Z4" si="0">O4+1</f>
        <v>2023</v>
      </c>
      <c r="Q4" s="250">
        <f t="shared" si="0"/>
        <v>2024</v>
      </c>
      <c r="R4" s="250">
        <f t="shared" si="0"/>
        <v>2025</v>
      </c>
      <c r="S4" s="250">
        <f t="shared" si="0"/>
        <v>2026</v>
      </c>
      <c r="T4" s="250">
        <f t="shared" si="0"/>
        <v>2027</v>
      </c>
      <c r="U4" s="250">
        <f t="shared" si="0"/>
        <v>2028</v>
      </c>
      <c r="V4" s="250">
        <f t="shared" si="0"/>
        <v>2029</v>
      </c>
      <c r="W4" s="250">
        <f t="shared" si="0"/>
        <v>2030</v>
      </c>
      <c r="X4" s="250">
        <f t="shared" si="0"/>
        <v>2031</v>
      </c>
      <c r="Y4" s="250">
        <f t="shared" si="0"/>
        <v>2032</v>
      </c>
      <c r="Z4" s="250">
        <f t="shared" si="0"/>
        <v>2033</v>
      </c>
    </row>
    <row r="5" spans="2:30">
      <c r="B5" s="254"/>
      <c r="C5" s="254"/>
      <c r="D5" s="254"/>
      <c r="E5" s="255">
        <f>E4</f>
        <v>10391867.199999999</v>
      </c>
      <c r="F5" s="256" t="s">
        <v>97</v>
      </c>
    </row>
    <row r="6" spans="2:30">
      <c r="B6" s="363" t="s">
        <v>165</v>
      </c>
      <c r="E6" s="257">
        <f>'5.credit refinan cec 10.5mil'!E6</f>
        <v>6.0999999999999999E-2</v>
      </c>
      <c r="M6" s="250" t="s">
        <v>58</v>
      </c>
      <c r="N6" s="250">
        <f>K25</f>
        <v>0</v>
      </c>
      <c r="O6" s="253">
        <f>K37</f>
        <v>0</v>
      </c>
      <c r="P6" s="253">
        <f>K49</f>
        <v>519593.35999999993</v>
      </c>
      <c r="Q6" s="357">
        <f>K61</f>
        <v>1039186.7199999999</v>
      </c>
      <c r="R6" s="357">
        <f>K73</f>
        <v>1039186.7199999999</v>
      </c>
      <c r="S6" s="357">
        <f>K85</f>
        <v>1039186.7199999999</v>
      </c>
      <c r="T6" s="357">
        <f>K97</f>
        <v>1039186.7199999999</v>
      </c>
      <c r="U6" s="357">
        <f>K109</f>
        <v>1039186.7199999999</v>
      </c>
      <c r="V6" s="357">
        <f>K121</f>
        <v>1039186.7199999999</v>
      </c>
      <c r="W6" s="357">
        <f>K133</f>
        <v>1039186.7199999999</v>
      </c>
      <c r="X6" s="357">
        <f>K145</f>
        <v>1039186.7199999999</v>
      </c>
      <c r="Y6" s="357">
        <f>K157</f>
        <v>1039186.7199999999</v>
      </c>
      <c r="Z6" s="253">
        <f>K164</f>
        <v>519593.35999999993</v>
      </c>
      <c r="AD6" s="357">
        <f>SUM(N6:AC6)</f>
        <v>10391867.199999999</v>
      </c>
    </row>
    <row r="7" spans="2:30">
      <c r="B7" s="249" t="s">
        <v>22</v>
      </c>
      <c r="E7" s="257">
        <v>1.4500000000000001E-2</v>
      </c>
      <c r="M7" s="250" t="s">
        <v>20</v>
      </c>
      <c r="N7" s="253">
        <f>L25</f>
        <v>134033.43715666665</v>
      </c>
      <c r="O7" s="253">
        <f>L37</f>
        <v>795483.00101111084</v>
      </c>
      <c r="P7" s="253">
        <f>L49</f>
        <v>783805.01996887045</v>
      </c>
      <c r="Q7" s="253">
        <f>L61</f>
        <v>714481.76392185257</v>
      </c>
      <c r="R7" s="253">
        <f>L73</f>
        <v>632899.35203733435</v>
      </c>
      <c r="S7" s="253">
        <f>L85</f>
        <v>553351.05193622329</v>
      </c>
      <c r="T7" s="253">
        <f>L97</f>
        <v>473802.75183511182</v>
      </c>
      <c r="U7" s="253">
        <f>L109</f>
        <v>395416.8013245191</v>
      </c>
      <c r="V7" s="253">
        <f>L121</f>
        <v>314706.15163288923</v>
      </c>
      <c r="W7" s="253">
        <f>L133</f>
        <v>235157.851531778</v>
      </c>
      <c r="X7" s="253">
        <f>L145</f>
        <v>155609.5514306667</v>
      </c>
      <c r="Y7" s="253">
        <f>L157</f>
        <v>76351.83872718527</v>
      </c>
      <c r="Z7" s="253">
        <f>L164</f>
        <v>8190.9322706852263</v>
      </c>
      <c r="AD7" s="357">
        <f>SUM(N7:AC7)</f>
        <v>5273289.5047848932</v>
      </c>
    </row>
    <row r="8" spans="2:30">
      <c r="B8" s="254"/>
      <c r="C8" s="254"/>
      <c r="D8" s="254"/>
      <c r="E8" s="258">
        <f>E6+E7</f>
        <v>7.5499999999999998E-2</v>
      </c>
      <c r="N8" s="253">
        <f>26000</f>
        <v>26000</v>
      </c>
    </row>
    <row r="9" spans="2:30">
      <c r="B9" s="259" t="s">
        <v>166</v>
      </c>
      <c r="E9" s="260"/>
      <c r="N9" s="357">
        <f>SUM(N6:N7)</f>
        <v>134033.43715666665</v>
      </c>
      <c r="O9" s="357">
        <f t="shared" ref="O9:Z9" si="1">SUM(O6:O7)</f>
        <v>795483.00101111084</v>
      </c>
      <c r="P9" s="357">
        <f t="shared" si="1"/>
        <v>1303398.3799688704</v>
      </c>
      <c r="Q9" s="357">
        <f t="shared" si="1"/>
        <v>1753668.4839218524</v>
      </c>
      <c r="R9" s="357">
        <f t="shared" si="1"/>
        <v>1672086.0720373341</v>
      </c>
      <c r="S9" s="357">
        <f t="shared" si="1"/>
        <v>1592537.7719362231</v>
      </c>
      <c r="T9" s="357">
        <f t="shared" si="1"/>
        <v>1512989.4718351117</v>
      </c>
      <c r="U9" s="357">
        <f t="shared" si="1"/>
        <v>1434603.5213245191</v>
      </c>
      <c r="V9" s="357">
        <f t="shared" si="1"/>
        <v>1353892.8716328891</v>
      </c>
      <c r="W9" s="357">
        <f t="shared" si="1"/>
        <v>1274344.5715317777</v>
      </c>
      <c r="X9" s="357">
        <f t="shared" si="1"/>
        <v>1194796.2714306666</v>
      </c>
      <c r="Y9" s="357">
        <f t="shared" si="1"/>
        <v>1115538.5587271852</v>
      </c>
      <c r="Z9" s="357">
        <f t="shared" si="1"/>
        <v>527784.2922706852</v>
      </c>
    </row>
    <row r="10" spans="2:30">
      <c r="B10" s="259"/>
      <c r="E10" s="261"/>
    </row>
    <row r="11" spans="2:30" hidden="1">
      <c r="B11" s="249">
        <v>43100</v>
      </c>
      <c r="E11" s="257"/>
      <c r="F11" s="257"/>
    </row>
    <row r="12" spans="2:30">
      <c r="B12" s="262" t="s">
        <v>98</v>
      </c>
      <c r="C12" s="262"/>
      <c r="D12" s="262" t="s">
        <v>99</v>
      </c>
      <c r="E12" s="263" t="s">
        <v>100</v>
      </c>
      <c r="F12" s="262" t="s">
        <v>36</v>
      </c>
      <c r="G12" s="264" t="s">
        <v>32</v>
      </c>
      <c r="H12" s="264" t="s">
        <v>17</v>
      </c>
      <c r="I12" s="262" t="s">
        <v>40</v>
      </c>
    </row>
    <row r="13" spans="2:30">
      <c r="B13" s="265">
        <v>1</v>
      </c>
      <c r="C13" s="265"/>
      <c r="D13" s="265">
        <v>2</v>
      </c>
      <c r="E13" s="265">
        <v>3</v>
      </c>
      <c r="F13" s="265">
        <v>4</v>
      </c>
      <c r="G13" s="265">
        <v>5</v>
      </c>
      <c r="H13" s="265">
        <v>6</v>
      </c>
      <c r="I13" s="265" t="s">
        <v>101</v>
      </c>
    </row>
    <row r="14" spans="2:30" hidden="1">
      <c r="B14" s="266">
        <v>44227</v>
      </c>
      <c r="C14" s="266">
        <f t="shared" ref="C14:C24" si="2">B15</f>
        <v>44255</v>
      </c>
      <c r="D14" s="267"/>
      <c r="E14" s="268"/>
      <c r="F14" s="268"/>
      <c r="G14" s="267">
        <f>(B14-B11)*E8*F14/360</f>
        <v>0</v>
      </c>
      <c r="H14" s="267"/>
      <c r="I14" s="269"/>
    </row>
    <row r="15" spans="2:30" hidden="1">
      <c r="B15" s="266">
        <f>EOMONTH(B14,1)</f>
        <v>44255</v>
      </c>
      <c r="C15" s="266">
        <f t="shared" si="2"/>
        <v>44286</v>
      </c>
      <c r="D15" s="267"/>
      <c r="E15" s="268"/>
      <c r="F15" s="268"/>
      <c r="G15" s="267">
        <f>(B15-B14)*$E$8*F15/360</f>
        <v>0</v>
      </c>
      <c r="H15" s="267"/>
      <c r="I15" s="268">
        <f>E15+G15</f>
        <v>0</v>
      </c>
    </row>
    <row r="16" spans="2:30" hidden="1">
      <c r="B16" s="266">
        <f>EOMONTH(B15,1)</f>
        <v>44286</v>
      </c>
      <c r="C16" s="266">
        <f t="shared" si="2"/>
        <v>44316</v>
      </c>
      <c r="D16" s="270"/>
      <c r="E16" s="268"/>
      <c r="F16" s="270"/>
      <c r="G16" s="267">
        <f t="shared" ref="G16:G22" si="3">(B16-B15)*$E$8*F16/360</f>
        <v>0</v>
      </c>
      <c r="H16" s="267"/>
      <c r="I16" s="268">
        <f>E16+G16</f>
        <v>0</v>
      </c>
    </row>
    <row r="17" spans="1:12" hidden="1">
      <c r="B17" s="266">
        <f t="shared" ref="B17:B18" si="4">EOMONTH(B16,1)</f>
        <v>44316</v>
      </c>
      <c r="C17" s="266">
        <f t="shared" si="2"/>
        <v>44347</v>
      </c>
      <c r="D17" s="266"/>
      <c r="E17" s="268"/>
      <c r="F17" s="270"/>
      <c r="G17" s="267">
        <f t="shared" si="3"/>
        <v>0</v>
      </c>
      <c r="H17" s="267"/>
      <c r="I17" s="270">
        <f t="shared" ref="I17:I80" si="5">E17+G17</f>
        <v>0</v>
      </c>
    </row>
    <row r="18" spans="1:12" hidden="1">
      <c r="B18" s="266">
        <f t="shared" si="4"/>
        <v>44347</v>
      </c>
      <c r="C18" s="266">
        <f t="shared" si="2"/>
        <v>44348</v>
      </c>
      <c r="D18" s="270"/>
      <c r="E18" s="268"/>
      <c r="F18" s="270"/>
      <c r="G18" s="267">
        <f t="shared" si="3"/>
        <v>0</v>
      </c>
      <c r="H18" s="267"/>
      <c r="I18" s="270">
        <f t="shared" si="5"/>
        <v>0</v>
      </c>
    </row>
    <row r="19" spans="1:12" hidden="1">
      <c r="B19" s="266">
        <v>44348</v>
      </c>
      <c r="C19" s="266">
        <f t="shared" si="2"/>
        <v>44378</v>
      </c>
      <c r="D19" s="270"/>
      <c r="E19" s="268"/>
      <c r="F19" s="270"/>
      <c r="G19" s="267">
        <f t="shared" si="3"/>
        <v>0</v>
      </c>
      <c r="H19" s="267"/>
      <c r="I19" s="270">
        <f t="shared" si="5"/>
        <v>0</v>
      </c>
    </row>
    <row r="20" spans="1:12">
      <c r="A20" s="250">
        <v>1</v>
      </c>
      <c r="B20" s="266">
        <f>EOMONTH(B19,0)+1</f>
        <v>44378</v>
      </c>
      <c r="C20" s="266">
        <f t="shared" si="2"/>
        <v>44409</v>
      </c>
      <c r="D20" s="350"/>
      <c r="E20" s="268"/>
      <c r="F20" s="270"/>
      <c r="G20" s="267">
        <f t="shared" si="3"/>
        <v>0</v>
      </c>
      <c r="H20" s="267"/>
      <c r="I20" s="270">
        <f t="shared" si="5"/>
        <v>0</v>
      </c>
    </row>
    <row r="21" spans="1:12">
      <c r="A21" s="250">
        <f t="shared" ref="A21:A24" si="6">A20+1</f>
        <v>2</v>
      </c>
      <c r="B21" s="266">
        <f t="shared" ref="B21:B84" si="7">EOMONTH(B20,0)+1</f>
        <v>44409</v>
      </c>
      <c r="C21" s="266">
        <f t="shared" si="2"/>
        <v>44440</v>
      </c>
      <c r="D21" s="350"/>
      <c r="E21" s="268">
        <f t="shared" ref="E21:E84" si="8">E20</f>
        <v>0</v>
      </c>
      <c r="F21" s="270">
        <v>0</v>
      </c>
      <c r="G21" s="267">
        <f t="shared" si="3"/>
        <v>0</v>
      </c>
      <c r="H21" s="267"/>
      <c r="I21" s="270">
        <f t="shared" si="5"/>
        <v>0</v>
      </c>
    </row>
    <row r="22" spans="1:12">
      <c r="A22" s="250">
        <f t="shared" si="6"/>
        <v>3</v>
      </c>
      <c r="B22" s="266">
        <f t="shared" si="7"/>
        <v>44440</v>
      </c>
      <c r="C22" s="266">
        <f t="shared" si="2"/>
        <v>44470</v>
      </c>
      <c r="D22" s="351"/>
      <c r="E22" s="268">
        <f>E21</f>
        <v>0</v>
      </c>
      <c r="F22" s="270">
        <f>F21-E21</f>
        <v>0</v>
      </c>
      <c r="G22" s="267">
        <f t="shared" si="3"/>
        <v>0</v>
      </c>
      <c r="H22" s="267"/>
      <c r="I22" s="270">
        <f t="shared" si="5"/>
        <v>0</v>
      </c>
    </row>
    <row r="23" spans="1:12" s="271" customFormat="1">
      <c r="A23" s="250">
        <f t="shared" si="6"/>
        <v>4</v>
      </c>
      <c r="B23" s="272">
        <f t="shared" si="7"/>
        <v>44470</v>
      </c>
      <c r="C23" s="272">
        <f t="shared" si="2"/>
        <v>44501</v>
      </c>
      <c r="D23" s="352">
        <f>0.5*E4</f>
        <v>5195933.5999999996</v>
      </c>
      <c r="E23" s="274">
        <f t="shared" si="8"/>
        <v>0</v>
      </c>
      <c r="F23" s="275">
        <f>D23</f>
        <v>5195933.5999999996</v>
      </c>
      <c r="G23" s="273">
        <f>J23*$E$8*F23/360</f>
        <v>33780.784974444439</v>
      </c>
      <c r="H23" s="273"/>
      <c r="I23" s="275">
        <f t="shared" si="5"/>
        <v>33780.784974444439</v>
      </c>
      <c r="J23" s="271">
        <f>B24-B23</f>
        <v>31</v>
      </c>
    </row>
    <row r="24" spans="1:12" s="271" customFormat="1">
      <c r="A24" s="250">
        <f t="shared" si="6"/>
        <v>5</v>
      </c>
      <c r="B24" s="272">
        <f t="shared" si="7"/>
        <v>44501</v>
      </c>
      <c r="C24" s="272">
        <f t="shared" si="2"/>
        <v>44531</v>
      </c>
      <c r="D24" s="353"/>
      <c r="E24" s="274"/>
      <c r="F24" s="275">
        <f>F23-E24</f>
        <v>5195933.5999999996</v>
      </c>
      <c r="G24" s="273">
        <f t="shared" ref="G24:G87" si="9">J24*$E$8*F24/360</f>
        <v>32691.082233333334</v>
      </c>
      <c r="H24" s="273"/>
      <c r="I24" s="275">
        <f t="shared" si="5"/>
        <v>32691.082233333334</v>
      </c>
      <c r="J24" s="271">
        <f t="shared" ref="J24:J87" si="10">B25-B24</f>
        <v>30</v>
      </c>
    </row>
    <row r="25" spans="1:12" s="281" customFormat="1">
      <c r="A25" s="281">
        <f t="shared" ref="A25:A87" si="11">A24+1</f>
        <v>6</v>
      </c>
      <c r="B25" s="282">
        <f t="shared" si="7"/>
        <v>44531</v>
      </c>
      <c r="C25" s="282" t="e">
        <f>#REF!</f>
        <v>#REF!</v>
      </c>
      <c r="D25" s="354">
        <f>E4-D23</f>
        <v>5195933.5999999996</v>
      </c>
      <c r="E25" s="283"/>
      <c r="F25" s="284">
        <f>F24-E25+D25</f>
        <v>10391867.199999999</v>
      </c>
      <c r="G25" s="285">
        <f t="shared" si="9"/>
        <v>67561.569948888879</v>
      </c>
      <c r="H25" s="285"/>
      <c r="I25" s="284">
        <f t="shared" si="5"/>
        <v>67561.569948888879</v>
      </c>
      <c r="J25" s="281">
        <f t="shared" si="10"/>
        <v>31</v>
      </c>
      <c r="L25" s="286">
        <f>SUM(G23:G25)</f>
        <v>134033.43715666665</v>
      </c>
    </row>
    <row r="26" spans="1:12" s="271" customFormat="1">
      <c r="A26" s="271">
        <f t="shared" si="11"/>
        <v>7</v>
      </c>
      <c r="B26" s="272">
        <f t="shared" si="7"/>
        <v>44562</v>
      </c>
      <c r="C26" s="272">
        <f>B27</f>
        <v>44593</v>
      </c>
      <c r="D26" s="352"/>
      <c r="E26" s="274"/>
      <c r="F26" s="275">
        <f>F25</f>
        <v>10391867.199999999</v>
      </c>
      <c r="G26" s="273">
        <f t="shared" si="9"/>
        <v>67561.569948888879</v>
      </c>
      <c r="H26" s="273"/>
      <c r="I26" s="275">
        <f t="shared" si="5"/>
        <v>67561.569948888879</v>
      </c>
      <c r="J26" s="271">
        <f t="shared" si="10"/>
        <v>31</v>
      </c>
    </row>
    <row r="27" spans="1:12" s="271" customFormat="1">
      <c r="A27" s="271">
        <f t="shared" si="11"/>
        <v>8</v>
      </c>
      <c r="B27" s="272">
        <f t="shared" si="7"/>
        <v>44593</v>
      </c>
      <c r="C27" s="272">
        <f>B28</f>
        <v>44621</v>
      </c>
      <c r="D27" s="352"/>
      <c r="E27" s="274"/>
      <c r="F27" s="275">
        <f>F26-E26</f>
        <v>10391867.199999999</v>
      </c>
      <c r="G27" s="273">
        <f t="shared" si="9"/>
        <v>61023.353502222213</v>
      </c>
      <c r="H27" s="273"/>
      <c r="I27" s="275">
        <f t="shared" si="5"/>
        <v>61023.353502222213</v>
      </c>
      <c r="J27" s="271">
        <f t="shared" si="10"/>
        <v>28</v>
      </c>
    </row>
    <row r="28" spans="1:12" s="271" customFormat="1">
      <c r="A28" s="271">
        <f t="shared" si="11"/>
        <v>9</v>
      </c>
      <c r="B28" s="272">
        <f t="shared" si="7"/>
        <v>44621</v>
      </c>
      <c r="C28" s="272">
        <f>B29</f>
        <v>44652</v>
      </c>
      <c r="D28" s="353"/>
      <c r="E28" s="274"/>
      <c r="F28" s="275">
        <f>F27-E27</f>
        <v>10391867.199999999</v>
      </c>
      <c r="G28" s="273">
        <f t="shared" si="9"/>
        <v>67561.569948888879</v>
      </c>
      <c r="H28" s="273"/>
      <c r="I28" s="275">
        <f t="shared" si="5"/>
        <v>67561.569948888879</v>
      </c>
      <c r="J28" s="271">
        <f t="shared" si="10"/>
        <v>31</v>
      </c>
    </row>
    <row r="29" spans="1:12" s="271" customFormat="1">
      <c r="A29" s="271">
        <f t="shared" si="11"/>
        <v>10</v>
      </c>
      <c r="B29" s="272">
        <f t="shared" si="7"/>
        <v>44652</v>
      </c>
      <c r="C29" s="272">
        <f t="shared" ref="C29:C92" si="12">B30</f>
        <v>44682</v>
      </c>
      <c r="D29" s="355"/>
      <c r="E29" s="274"/>
      <c r="F29" s="275">
        <f t="shared" ref="F29:F92" si="13">F28-E28</f>
        <v>10391867.199999999</v>
      </c>
      <c r="G29" s="273">
        <f t="shared" si="9"/>
        <v>65382.164466666669</v>
      </c>
      <c r="H29" s="273"/>
      <c r="I29" s="275">
        <f t="shared" si="5"/>
        <v>65382.164466666669</v>
      </c>
      <c r="J29" s="271">
        <f t="shared" si="10"/>
        <v>30</v>
      </c>
    </row>
    <row r="30" spans="1:12" s="271" customFormat="1">
      <c r="A30" s="271">
        <f t="shared" si="11"/>
        <v>11</v>
      </c>
      <c r="B30" s="272">
        <f t="shared" si="7"/>
        <v>44682</v>
      </c>
      <c r="C30" s="272">
        <f t="shared" si="12"/>
        <v>44713</v>
      </c>
      <c r="D30" s="355"/>
      <c r="E30" s="274"/>
      <c r="F30" s="274">
        <f t="shared" si="13"/>
        <v>10391867.199999999</v>
      </c>
      <c r="G30" s="273">
        <f t="shared" si="9"/>
        <v>67561.569948888879</v>
      </c>
      <c r="H30" s="273"/>
      <c r="I30" s="275">
        <f t="shared" si="5"/>
        <v>67561.569948888879</v>
      </c>
      <c r="J30" s="271">
        <f t="shared" si="10"/>
        <v>31</v>
      </c>
    </row>
    <row r="31" spans="1:12" s="271" customFormat="1">
      <c r="A31" s="271">
        <f t="shared" si="11"/>
        <v>12</v>
      </c>
      <c r="B31" s="272">
        <f t="shared" si="7"/>
        <v>44713</v>
      </c>
      <c r="C31" s="272">
        <f t="shared" si="12"/>
        <v>44743</v>
      </c>
      <c r="D31" s="355"/>
      <c r="E31" s="274"/>
      <c r="F31" s="274">
        <f t="shared" si="13"/>
        <v>10391867.199999999</v>
      </c>
      <c r="G31" s="273">
        <f t="shared" si="9"/>
        <v>65382.164466666669</v>
      </c>
      <c r="H31" s="273"/>
      <c r="I31" s="275">
        <f t="shared" si="5"/>
        <v>65382.164466666669</v>
      </c>
      <c r="J31" s="271">
        <f t="shared" si="10"/>
        <v>30</v>
      </c>
    </row>
    <row r="32" spans="1:12" s="271" customFormat="1">
      <c r="A32" s="271">
        <f t="shared" si="11"/>
        <v>13</v>
      </c>
      <c r="B32" s="272">
        <f t="shared" si="7"/>
        <v>44743</v>
      </c>
      <c r="C32" s="272">
        <f t="shared" si="12"/>
        <v>44774</v>
      </c>
      <c r="D32" s="355"/>
      <c r="E32" s="274"/>
      <c r="F32" s="274">
        <f t="shared" si="13"/>
        <v>10391867.199999999</v>
      </c>
      <c r="G32" s="273">
        <f t="shared" si="9"/>
        <v>67561.569948888879</v>
      </c>
      <c r="H32" s="273"/>
      <c r="I32" s="275">
        <f t="shared" si="5"/>
        <v>67561.569948888879</v>
      </c>
      <c r="J32" s="271">
        <f t="shared" si="10"/>
        <v>31</v>
      </c>
    </row>
    <row r="33" spans="1:12" s="271" customFormat="1">
      <c r="A33" s="271">
        <f t="shared" si="11"/>
        <v>14</v>
      </c>
      <c r="B33" s="272">
        <f t="shared" si="7"/>
        <v>44774</v>
      </c>
      <c r="C33" s="272">
        <f t="shared" si="12"/>
        <v>44805</v>
      </c>
      <c r="D33" s="355"/>
      <c r="E33" s="274"/>
      <c r="F33" s="274">
        <f t="shared" si="13"/>
        <v>10391867.199999999</v>
      </c>
      <c r="G33" s="273">
        <f t="shared" si="9"/>
        <v>67561.569948888879</v>
      </c>
      <c r="H33" s="273"/>
      <c r="I33" s="275">
        <f t="shared" si="5"/>
        <v>67561.569948888879</v>
      </c>
      <c r="J33" s="271">
        <f t="shared" si="10"/>
        <v>31</v>
      </c>
    </row>
    <row r="34" spans="1:12" s="271" customFormat="1">
      <c r="A34" s="271">
        <f t="shared" si="11"/>
        <v>15</v>
      </c>
      <c r="B34" s="272">
        <f t="shared" si="7"/>
        <v>44805</v>
      </c>
      <c r="C34" s="272">
        <f t="shared" si="12"/>
        <v>44835</v>
      </c>
      <c r="D34" s="355"/>
      <c r="E34" s="274"/>
      <c r="F34" s="274">
        <f t="shared" si="13"/>
        <v>10391867.199999999</v>
      </c>
      <c r="G34" s="273">
        <f t="shared" si="9"/>
        <v>65382.164466666669</v>
      </c>
      <c r="H34" s="273"/>
      <c r="I34" s="275">
        <f t="shared" si="5"/>
        <v>65382.164466666669</v>
      </c>
      <c r="J34" s="271">
        <f t="shared" si="10"/>
        <v>30</v>
      </c>
    </row>
    <row r="35" spans="1:12" s="271" customFormat="1">
      <c r="A35" s="271">
        <f t="shared" si="11"/>
        <v>16</v>
      </c>
      <c r="B35" s="272">
        <f t="shared" si="7"/>
        <v>44835</v>
      </c>
      <c r="C35" s="272">
        <f t="shared" si="12"/>
        <v>44866</v>
      </c>
      <c r="D35" s="355"/>
      <c r="E35" s="274"/>
      <c r="F35" s="274">
        <f t="shared" si="13"/>
        <v>10391867.199999999</v>
      </c>
      <c r="G35" s="273">
        <f t="shared" si="9"/>
        <v>67561.569948888879</v>
      </c>
      <c r="H35" s="273"/>
      <c r="I35" s="275">
        <f t="shared" si="5"/>
        <v>67561.569948888879</v>
      </c>
      <c r="J35" s="271">
        <f t="shared" si="10"/>
        <v>31</v>
      </c>
    </row>
    <row r="36" spans="1:12" s="271" customFormat="1">
      <c r="A36" s="271">
        <f t="shared" si="11"/>
        <v>17</v>
      </c>
      <c r="B36" s="272">
        <f t="shared" si="7"/>
        <v>44866</v>
      </c>
      <c r="C36" s="272">
        <f t="shared" si="12"/>
        <v>44896</v>
      </c>
      <c r="D36" s="355"/>
      <c r="E36" s="274">
        <f t="shared" si="8"/>
        <v>0</v>
      </c>
      <c r="F36" s="274">
        <f t="shared" si="13"/>
        <v>10391867.199999999</v>
      </c>
      <c r="G36" s="273">
        <f t="shared" si="9"/>
        <v>65382.164466666669</v>
      </c>
      <c r="H36" s="273"/>
      <c r="I36" s="275">
        <f t="shared" si="5"/>
        <v>65382.164466666669</v>
      </c>
      <c r="J36" s="271">
        <f t="shared" si="10"/>
        <v>30</v>
      </c>
    </row>
    <row r="37" spans="1:12" s="281" customFormat="1">
      <c r="A37" s="281">
        <f t="shared" si="11"/>
        <v>18</v>
      </c>
      <c r="B37" s="282">
        <f t="shared" si="7"/>
        <v>44896</v>
      </c>
      <c r="C37" s="282">
        <f t="shared" si="12"/>
        <v>44927</v>
      </c>
      <c r="D37" s="349"/>
      <c r="E37" s="283">
        <f t="shared" si="8"/>
        <v>0</v>
      </c>
      <c r="F37" s="283">
        <f>F36-E36+D37</f>
        <v>10391867.199999999</v>
      </c>
      <c r="G37" s="285">
        <f t="shared" si="9"/>
        <v>67561.569948888879</v>
      </c>
      <c r="H37" s="285"/>
      <c r="I37" s="284">
        <f t="shared" si="5"/>
        <v>67561.569948888879</v>
      </c>
      <c r="J37" s="281">
        <f t="shared" si="10"/>
        <v>31</v>
      </c>
      <c r="K37" s="286">
        <f>SUM(E26:E37)</f>
        <v>0</v>
      </c>
      <c r="L37" s="286">
        <f>SUM(G26:G37)</f>
        <v>795483.00101111084</v>
      </c>
    </row>
    <row r="38" spans="1:12" s="271" customFormat="1">
      <c r="A38" s="271">
        <f t="shared" si="11"/>
        <v>19</v>
      </c>
      <c r="B38" s="272">
        <f t="shared" si="7"/>
        <v>44927</v>
      </c>
      <c r="C38" s="272">
        <f t="shared" si="12"/>
        <v>44958</v>
      </c>
      <c r="D38" s="355"/>
      <c r="E38" s="274">
        <f t="shared" si="8"/>
        <v>0</v>
      </c>
      <c r="F38" s="274">
        <f t="shared" si="13"/>
        <v>10391867.199999999</v>
      </c>
      <c r="G38" s="273">
        <f t="shared" si="9"/>
        <v>67561.569948888879</v>
      </c>
      <c r="H38" s="273"/>
      <c r="I38" s="275">
        <f t="shared" si="5"/>
        <v>67561.569948888879</v>
      </c>
      <c r="J38" s="271">
        <f t="shared" si="10"/>
        <v>31</v>
      </c>
    </row>
    <row r="39" spans="1:12" s="271" customFormat="1">
      <c r="A39" s="271">
        <f t="shared" si="11"/>
        <v>20</v>
      </c>
      <c r="B39" s="272">
        <f t="shared" si="7"/>
        <v>44958</v>
      </c>
      <c r="C39" s="272">
        <f t="shared" si="12"/>
        <v>44986</v>
      </c>
      <c r="D39" s="355"/>
      <c r="E39" s="274">
        <f t="shared" si="8"/>
        <v>0</v>
      </c>
      <c r="F39" s="274">
        <f t="shared" si="13"/>
        <v>10391867.199999999</v>
      </c>
      <c r="G39" s="273">
        <f t="shared" si="9"/>
        <v>61023.353502222213</v>
      </c>
      <c r="H39" s="273"/>
      <c r="I39" s="275">
        <f t="shared" si="5"/>
        <v>61023.353502222213</v>
      </c>
      <c r="J39" s="271">
        <f t="shared" si="10"/>
        <v>28</v>
      </c>
    </row>
    <row r="40" spans="1:12" s="271" customFormat="1">
      <c r="A40" s="271">
        <f t="shared" si="11"/>
        <v>21</v>
      </c>
      <c r="B40" s="272">
        <f t="shared" si="7"/>
        <v>44986</v>
      </c>
      <c r="C40" s="272">
        <f t="shared" si="12"/>
        <v>45017</v>
      </c>
      <c r="D40" s="355"/>
      <c r="E40" s="274">
        <f t="shared" si="8"/>
        <v>0</v>
      </c>
      <c r="F40" s="274">
        <f t="shared" si="13"/>
        <v>10391867.199999999</v>
      </c>
      <c r="G40" s="273">
        <f t="shared" si="9"/>
        <v>67561.569948888879</v>
      </c>
      <c r="H40" s="273"/>
      <c r="I40" s="275">
        <f t="shared" si="5"/>
        <v>67561.569948888879</v>
      </c>
      <c r="J40" s="271">
        <f t="shared" si="10"/>
        <v>31</v>
      </c>
    </row>
    <row r="41" spans="1:12" s="271" customFormat="1">
      <c r="A41" s="271">
        <f t="shared" si="11"/>
        <v>22</v>
      </c>
      <c r="B41" s="272">
        <f t="shared" si="7"/>
        <v>45017</v>
      </c>
      <c r="C41" s="272">
        <f t="shared" si="12"/>
        <v>45047</v>
      </c>
      <c r="D41" s="355"/>
      <c r="E41" s="274">
        <f t="shared" si="8"/>
        <v>0</v>
      </c>
      <c r="F41" s="274">
        <f t="shared" si="13"/>
        <v>10391867.199999999</v>
      </c>
      <c r="G41" s="273">
        <f t="shared" si="9"/>
        <v>65382.164466666669</v>
      </c>
      <c r="H41" s="273"/>
      <c r="I41" s="275">
        <f t="shared" si="5"/>
        <v>65382.164466666669</v>
      </c>
      <c r="J41" s="271">
        <f t="shared" si="10"/>
        <v>30</v>
      </c>
    </row>
    <row r="42" spans="1:12" s="271" customFormat="1">
      <c r="A42" s="271">
        <f t="shared" si="11"/>
        <v>23</v>
      </c>
      <c r="B42" s="272">
        <f t="shared" si="7"/>
        <v>45047</v>
      </c>
      <c r="C42" s="272">
        <f t="shared" si="12"/>
        <v>45078</v>
      </c>
      <c r="D42" s="355"/>
      <c r="E42" s="274"/>
      <c r="F42" s="274">
        <f t="shared" si="13"/>
        <v>10391867.199999999</v>
      </c>
      <c r="G42" s="273">
        <f t="shared" si="9"/>
        <v>67561.569948888879</v>
      </c>
      <c r="H42" s="273"/>
      <c r="I42" s="275">
        <f t="shared" si="5"/>
        <v>67561.569948888879</v>
      </c>
      <c r="J42" s="271">
        <f t="shared" si="10"/>
        <v>31</v>
      </c>
    </row>
    <row r="43" spans="1:12" s="271" customFormat="1">
      <c r="A43" s="271">
        <f t="shared" si="11"/>
        <v>24</v>
      </c>
      <c r="B43" s="272">
        <f t="shared" si="7"/>
        <v>45078</v>
      </c>
      <c r="C43" s="272">
        <f t="shared" si="12"/>
        <v>45108</v>
      </c>
      <c r="D43" s="355"/>
      <c r="E43" s="274"/>
      <c r="F43" s="274">
        <f t="shared" si="13"/>
        <v>10391867.199999999</v>
      </c>
      <c r="G43" s="273">
        <f t="shared" si="9"/>
        <v>65382.164466666669</v>
      </c>
      <c r="H43" s="273"/>
      <c r="I43" s="275">
        <f t="shared" si="5"/>
        <v>65382.164466666669</v>
      </c>
      <c r="J43" s="271">
        <f t="shared" si="10"/>
        <v>30</v>
      </c>
    </row>
    <row r="44" spans="1:12" s="271" customFormat="1">
      <c r="A44" s="271">
        <f t="shared" si="11"/>
        <v>25</v>
      </c>
      <c r="B44" s="272">
        <f t="shared" si="7"/>
        <v>45108</v>
      </c>
      <c r="C44" s="272">
        <f t="shared" si="12"/>
        <v>45139</v>
      </c>
      <c r="D44" s="355"/>
      <c r="E44" s="274">
        <f>E4/120</f>
        <v>86598.893333333326</v>
      </c>
      <c r="F44" s="274">
        <f>F43-E44</f>
        <v>10305268.306666667</v>
      </c>
      <c r="G44" s="273">
        <f t="shared" si="9"/>
        <v>66998.556865981474</v>
      </c>
      <c r="H44" s="273"/>
      <c r="I44" s="275">
        <f t="shared" si="5"/>
        <v>153597.4501993148</v>
      </c>
      <c r="J44" s="271">
        <f t="shared" si="10"/>
        <v>31</v>
      </c>
    </row>
    <row r="45" spans="1:12" s="271" customFormat="1">
      <c r="A45" s="271">
        <f t="shared" si="11"/>
        <v>26</v>
      </c>
      <c r="B45" s="272">
        <f t="shared" si="7"/>
        <v>45139</v>
      </c>
      <c r="C45" s="272">
        <f t="shared" si="12"/>
        <v>45170</v>
      </c>
      <c r="D45" s="355"/>
      <c r="E45" s="274">
        <f t="shared" si="8"/>
        <v>86598.893333333326</v>
      </c>
      <c r="F45" s="274">
        <f t="shared" si="13"/>
        <v>10218669.413333334</v>
      </c>
      <c r="G45" s="273">
        <f t="shared" si="9"/>
        <v>66435.543783074085</v>
      </c>
      <c r="H45" s="273"/>
      <c r="I45" s="275">
        <f t="shared" si="5"/>
        <v>153034.43711640741</v>
      </c>
      <c r="J45" s="271">
        <f t="shared" si="10"/>
        <v>31</v>
      </c>
    </row>
    <row r="46" spans="1:12" s="271" customFormat="1">
      <c r="A46" s="271">
        <f t="shared" si="11"/>
        <v>27</v>
      </c>
      <c r="B46" s="272">
        <f t="shared" si="7"/>
        <v>45170</v>
      </c>
      <c r="C46" s="272">
        <f t="shared" si="12"/>
        <v>45200</v>
      </c>
      <c r="D46" s="355"/>
      <c r="E46" s="274">
        <f t="shared" si="8"/>
        <v>86598.893333333326</v>
      </c>
      <c r="F46" s="274">
        <f t="shared" si="13"/>
        <v>10132070.520000001</v>
      </c>
      <c r="G46" s="273">
        <f t="shared" si="9"/>
        <v>63747.610355000012</v>
      </c>
      <c r="H46" s="273"/>
      <c r="I46" s="275">
        <f t="shared" si="5"/>
        <v>150346.50368833332</v>
      </c>
      <c r="J46" s="271">
        <f t="shared" si="10"/>
        <v>30</v>
      </c>
    </row>
    <row r="47" spans="1:12" s="271" customFormat="1">
      <c r="A47" s="271">
        <f t="shared" si="11"/>
        <v>28</v>
      </c>
      <c r="B47" s="272">
        <f t="shared" si="7"/>
        <v>45200</v>
      </c>
      <c r="C47" s="272">
        <f t="shared" si="12"/>
        <v>45231</v>
      </c>
      <c r="D47" s="355"/>
      <c r="E47" s="274">
        <f t="shared" si="8"/>
        <v>86598.893333333326</v>
      </c>
      <c r="F47" s="274">
        <f t="shared" si="13"/>
        <v>10045471.626666669</v>
      </c>
      <c r="G47" s="273">
        <f t="shared" si="9"/>
        <v>65309.517617259276</v>
      </c>
      <c r="H47" s="273"/>
      <c r="I47" s="275">
        <f t="shared" si="5"/>
        <v>151908.4109505926</v>
      </c>
      <c r="J47" s="271">
        <f t="shared" si="10"/>
        <v>31</v>
      </c>
    </row>
    <row r="48" spans="1:12" s="271" customFormat="1">
      <c r="A48" s="271">
        <f t="shared" si="11"/>
        <v>29</v>
      </c>
      <c r="B48" s="272">
        <f t="shared" si="7"/>
        <v>45231</v>
      </c>
      <c r="C48" s="272">
        <f t="shared" si="12"/>
        <v>45261</v>
      </c>
      <c r="D48" s="355"/>
      <c r="E48" s="274">
        <f t="shared" si="8"/>
        <v>86598.893333333326</v>
      </c>
      <c r="F48" s="274">
        <f t="shared" si="13"/>
        <v>9958872.7333333362</v>
      </c>
      <c r="G48" s="273">
        <f t="shared" si="9"/>
        <v>62657.907613888914</v>
      </c>
      <c r="H48" s="273"/>
      <c r="I48" s="275">
        <f t="shared" si="5"/>
        <v>149256.80094722225</v>
      </c>
      <c r="J48" s="271">
        <f t="shared" si="10"/>
        <v>30</v>
      </c>
    </row>
    <row r="49" spans="1:12" s="281" customFormat="1">
      <c r="A49" s="281">
        <f t="shared" si="11"/>
        <v>30</v>
      </c>
      <c r="B49" s="282">
        <f t="shared" si="7"/>
        <v>45261</v>
      </c>
      <c r="C49" s="282">
        <f t="shared" si="12"/>
        <v>45292</v>
      </c>
      <c r="D49" s="354"/>
      <c r="E49" s="283">
        <f t="shared" si="8"/>
        <v>86598.893333333326</v>
      </c>
      <c r="F49" s="283">
        <f t="shared" si="13"/>
        <v>9872273.8400000036</v>
      </c>
      <c r="G49" s="285">
        <f t="shared" si="9"/>
        <v>64183.491451444468</v>
      </c>
      <c r="H49" s="285"/>
      <c r="I49" s="284">
        <f t="shared" si="5"/>
        <v>150782.38478477779</v>
      </c>
      <c r="J49" s="281">
        <f t="shared" si="10"/>
        <v>31</v>
      </c>
      <c r="K49" s="286">
        <f>SUM(E38:E49)</f>
        <v>519593.35999999993</v>
      </c>
      <c r="L49" s="286">
        <f>SUM(G38:G49)</f>
        <v>783805.01996887045</v>
      </c>
    </row>
    <row r="50" spans="1:12" s="271" customFormat="1">
      <c r="A50" s="271">
        <f t="shared" si="11"/>
        <v>31</v>
      </c>
      <c r="B50" s="272">
        <f t="shared" si="7"/>
        <v>45292</v>
      </c>
      <c r="C50" s="272">
        <f t="shared" si="12"/>
        <v>45323</v>
      </c>
      <c r="D50" s="355"/>
      <c r="E50" s="274">
        <f t="shared" si="8"/>
        <v>86598.893333333326</v>
      </c>
      <c r="F50" s="274">
        <f t="shared" si="13"/>
        <v>9785674.946666671</v>
      </c>
      <c r="G50" s="273">
        <f t="shared" si="9"/>
        <v>63620.478368537064</v>
      </c>
      <c r="H50" s="273"/>
      <c r="I50" s="275">
        <f t="shared" si="5"/>
        <v>150219.3717018704</v>
      </c>
      <c r="J50" s="271">
        <f t="shared" si="10"/>
        <v>31</v>
      </c>
    </row>
    <row r="51" spans="1:12" s="271" customFormat="1">
      <c r="A51" s="271">
        <f t="shared" si="11"/>
        <v>32</v>
      </c>
      <c r="B51" s="272">
        <f t="shared" si="7"/>
        <v>45323</v>
      </c>
      <c r="C51" s="272">
        <f t="shared" si="12"/>
        <v>45352</v>
      </c>
      <c r="D51" s="355"/>
      <c r="E51" s="274">
        <f t="shared" si="8"/>
        <v>86598.893333333326</v>
      </c>
      <c r="F51" s="274">
        <f t="shared" si="13"/>
        <v>9699076.0533333384</v>
      </c>
      <c r="G51" s="273">
        <f t="shared" si="9"/>
        <v>58989.241718814839</v>
      </c>
      <c r="H51" s="273"/>
      <c r="I51" s="275">
        <f t="shared" si="5"/>
        <v>145588.13505214817</v>
      </c>
      <c r="J51" s="271">
        <f t="shared" si="10"/>
        <v>29</v>
      </c>
    </row>
    <row r="52" spans="1:12" s="271" customFormat="1">
      <c r="A52" s="271">
        <f t="shared" si="11"/>
        <v>33</v>
      </c>
      <c r="B52" s="272">
        <f t="shared" si="7"/>
        <v>45352</v>
      </c>
      <c r="C52" s="272">
        <f t="shared" si="12"/>
        <v>45383</v>
      </c>
      <c r="D52" s="355"/>
      <c r="E52" s="274">
        <f t="shared" si="8"/>
        <v>86598.893333333326</v>
      </c>
      <c r="F52" s="274">
        <f t="shared" si="13"/>
        <v>9612477.1600000057</v>
      </c>
      <c r="G52" s="273">
        <f t="shared" si="9"/>
        <v>62494.452202722263</v>
      </c>
      <c r="H52" s="273"/>
      <c r="I52" s="275">
        <f t="shared" si="5"/>
        <v>149093.3455360556</v>
      </c>
      <c r="J52" s="271">
        <f t="shared" si="10"/>
        <v>31</v>
      </c>
    </row>
    <row r="53" spans="1:12" s="271" customFormat="1">
      <c r="A53" s="271">
        <f t="shared" si="11"/>
        <v>34</v>
      </c>
      <c r="B53" s="272">
        <f t="shared" si="7"/>
        <v>45383</v>
      </c>
      <c r="C53" s="272">
        <f t="shared" si="12"/>
        <v>45413</v>
      </c>
      <c r="D53" s="355"/>
      <c r="E53" s="274">
        <f t="shared" si="8"/>
        <v>86598.893333333326</v>
      </c>
      <c r="F53" s="274">
        <f t="shared" si="13"/>
        <v>9525878.2666666731</v>
      </c>
      <c r="G53" s="273">
        <f t="shared" si="9"/>
        <v>59933.650761111152</v>
      </c>
      <c r="H53" s="273"/>
      <c r="I53" s="275">
        <f t="shared" si="5"/>
        <v>146532.54409444449</v>
      </c>
      <c r="J53" s="271">
        <f t="shared" si="10"/>
        <v>30</v>
      </c>
    </row>
    <row r="54" spans="1:12" s="271" customFormat="1">
      <c r="A54" s="271">
        <f t="shared" si="11"/>
        <v>35</v>
      </c>
      <c r="B54" s="272">
        <f t="shared" si="7"/>
        <v>45413</v>
      </c>
      <c r="C54" s="272">
        <f t="shared" si="12"/>
        <v>45444</v>
      </c>
      <c r="D54" s="355"/>
      <c r="E54" s="274">
        <f t="shared" si="8"/>
        <v>86598.893333333326</v>
      </c>
      <c r="F54" s="274">
        <f t="shared" si="13"/>
        <v>9439279.3733333405</v>
      </c>
      <c r="G54" s="273">
        <f t="shared" si="9"/>
        <v>61368.426036907455</v>
      </c>
      <c r="H54" s="273"/>
      <c r="I54" s="275">
        <f t="shared" si="5"/>
        <v>147967.31937024079</v>
      </c>
      <c r="J54" s="271">
        <f t="shared" si="10"/>
        <v>31</v>
      </c>
    </row>
    <row r="55" spans="1:12" s="271" customFormat="1">
      <c r="A55" s="271">
        <f t="shared" si="11"/>
        <v>36</v>
      </c>
      <c r="B55" s="272">
        <f t="shared" si="7"/>
        <v>45444</v>
      </c>
      <c r="C55" s="272">
        <f t="shared" si="12"/>
        <v>45474</v>
      </c>
      <c r="D55" s="355"/>
      <c r="E55" s="274">
        <f t="shared" si="8"/>
        <v>86598.893333333326</v>
      </c>
      <c r="F55" s="274">
        <f t="shared" si="13"/>
        <v>9352680.4800000079</v>
      </c>
      <c r="G55" s="273">
        <f t="shared" si="9"/>
        <v>58843.948020000054</v>
      </c>
      <c r="H55" s="273"/>
      <c r="I55" s="275">
        <f t="shared" si="5"/>
        <v>145442.84135333338</v>
      </c>
      <c r="J55" s="271">
        <f t="shared" si="10"/>
        <v>30</v>
      </c>
    </row>
    <row r="56" spans="1:12" s="271" customFormat="1">
      <c r="A56" s="271">
        <f t="shared" si="11"/>
        <v>37</v>
      </c>
      <c r="B56" s="272">
        <f t="shared" si="7"/>
        <v>45474</v>
      </c>
      <c r="C56" s="272">
        <f t="shared" si="12"/>
        <v>45505</v>
      </c>
      <c r="D56" s="355"/>
      <c r="E56" s="274">
        <f t="shared" si="8"/>
        <v>86598.893333333326</v>
      </c>
      <c r="F56" s="274">
        <f t="shared" si="13"/>
        <v>9266081.5866666753</v>
      </c>
      <c r="G56" s="273">
        <f t="shared" si="9"/>
        <v>60242.399871092653</v>
      </c>
      <c r="H56" s="273"/>
      <c r="I56" s="275">
        <f t="shared" si="5"/>
        <v>146841.29320442598</v>
      </c>
      <c r="J56" s="271">
        <f t="shared" si="10"/>
        <v>31</v>
      </c>
    </row>
    <row r="57" spans="1:12" s="271" customFormat="1">
      <c r="A57" s="271">
        <f t="shared" si="11"/>
        <v>38</v>
      </c>
      <c r="B57" s="272">
        <f t="shared" si="7"/>
        <v>45505</v>
      </c>
      <c r="C57" s="272">
        <f t="shared" si="12"/>
        <v>45536</v>
      </c>
      <c r="D57" s="355"/>
      <c r="E57" s="274">
        <f t="shared" si="8"/>
        <v>86598.893333333326</v>
      </c>
      <c r="F57" s="274">
        <f t="shared" si="13"/>
        <v>9179482.6933333427</v>
      </c>
      <c r="G57" s="273">
        <f t="shared" si="9"/>
        <v>59679.386788185249</v>
      </c>
      <c r="H57" s="273"/>
      <c r="I57" s="275">
        <f t="shared" si="5"/>
        <v>146278.28012151859</v>
      </c>
      <c r="J57" s="271">
        <f t="shared" si="10"/>
        <v>31</v>
      </c>
    </row>
    <row r="58" spans="1:12" s="271" customFormat="1">
      <c r="A58" s="271">
        <f t="shared" si="11"/>
        <v>39</v>
      </c>
      <c r="B58" s="272">
        <f t="shared" si="7"/>
        <v>45536</v>
      </c>
      <c r="C58" s="272">
        <f t="shared" si="12"/>
        <v>45566</v>
      </c>
      <c r="D58" s="355"/>
      <c r="E58" s="274">
        <f t="shared" si="8"/>
        <v>86598.893333333326</v>
      </c>
      <c r="F58" s="274">
        <f t="shared" si="13"/>
        <v>9092883.8000000101</v>
      </c>
      <c r="G58" s="273">
        <f t="shared" si="9"/>
        <v>57209.393908333397</v>
      </c>
      <c r="H58" s="273"/>
      <c r="I58" s="275">
        <f t="shared" si="5"/>
        <v>143808.28724166672</v>
      </c>
      <c r="J58" s="271">
        <f t="shared" si="10"/>
        <v>30</v>
      </c>
    </row>
    <row r="59" spans="1:12" s="271" customFormat="1">
      <c r="A59" s="271">
        <f t="shared" si="11"/>
        <v>40</v>
      </c>
      <c r="B59" s="272">
        <f t="shared" si="7"/>
        <v>45566</v>
      </c>
      <c r="C59" s="272">
        <f t="shared" si="12"/>
        <v>45597</v>
      </c>
      <c r="D59" s="355"/>
      <c r="E59" s="274">
        <f t="shared" si="8"/>
        <v>86598.893333333326</v>
      </c>
      <c r="F59" s="274">
        <f t="shared" si="13"/>
        <v>9006284.9066666774</v>
      </c>
      <c r="G59" s="273">
        <f t="shared" si="9"/>
        <v>58553.360622370441</v>
      </c>
      <c r="H59" s="273"/>
      <c r="I59" s="275">
        <f t="shared" si="5"/>
        <v>145152.25395570375</v>
      </c>
      <c r="J59" s="271">
        <f t="shared" si="10"/>
        <v>31</v>
      </c>
    </row>
    <row r="60" spans="1:12" s="271" customFormat="1">
      <c r="A60" s="271">
        <f t="shared" si="11"/>
        <v>41</v>
      </c>
      <c r="B60" s="272">
        <f t="shared" si="7"/>
        <v>45597</v>
      </c>
      <c r="C60" s="272">
        <f t="shared" si="12"/>
        <v>45627</v>
      </c>
      <c r="D60" s="355"/>
      <c r="E60" s="274">
        <f t="shared" si="8"/>
        <v>86598.893333333326</v>
      </c>
      <c r="F60" s="274">
        <f t="shared" si="13"/>
        <v>8919686.0133333448</v>
      </c>
      <c r="G60" s="273">
        <f t="shared" si="9"/>
        <v>56119.691167222292</v>
      </c>
      <c r="H60" s="273"/>
      <c r="I60" s="275">
        <f t="shared" si="5"/>
        <v>142718.58450055562</v>
      </c>
      <c r="J60" s="271">
        <f t="shared" si="10"/>
        <v>30</v>
      </c>
    </row>
    <row r="61" spans="1:12" s="281" customFormat="1">
      <c r="A61" s="281">
        <f t="shared" si="11"/>
        <v>42</v>
      </c>
      <c r="B61" s="282">
        <f t="shared" si="7"/>
        <v>45627</v>
      </c>
      <c r="C61" s="282">
        <f t="shared" si="12"/>
        <v>45658</v>
      </c>
      <c r="D61" s="354"/>
      <c r="E61" s="283">
        <f t="shared" si="8"/>
        <v>86598.893333333326</v>
      </c>
      <c r="F61" s="283">
        <f t="shared" si="13"/>
        <v>8833087.1200000122</v>
      </c>
      <c r="G61" s="285">
        <f t="shared" si="9"/>
        <v>57427.33445655564</v>
      </c>
      <c r="H61" s="285"/>
      <c r="I61" s="284">
        <f t="shared" si="5"/>
        <v>144026.22778988897</v>
      </c>
      <c r="J61" s="281">
        <f t="shared" si="10"/>
        <v>31</v>
      </c>
      <c r="K61" s="286">
        <f>SUM(E50:E61)</f>
        <v>1039186.7199999999</v>
      </c>
      <c r="L61" s="286">
        <f>SUM(G50:G61)</f>
        <v>714481.76392185257</v>
      </c>
    </row>
    <row r="62" spans="1:12" s="271" customFormat="1">
      <c r="A62" s="271">
        <f t="shared" si="11"/>
        <v>43</v>
      </c>
      <c r="B62" s="272">
        <f t="shared" si="7"/>
        <v>45658</v>
      </c>
      <c r="C62" s="272">
        <f t="shared" si="12"/>
        <v>45689</v>
      </c>
      <c r="D62" s="355"/>
      <c r="E62" s="274">
        <f t="shared" si="8"/>
        <v>86598.893333333326</v>
      </c>
      <c r="F62" s="274">
        <f t="shared" si="13"/>
        <v>8746488.2266666796</v>
      </c>
      <c r="G62" s="273">
        <f t="shared" si="9"/>
        <v>56864.321373648236</v>
      </c>
      <c r="H62" s="273"/>
      <c r="I62" s="275">
        <f t="shared" si="5"/>
        <v>143463.21470698155</v>
      </c>
      <c r="J62" s="271">
        <f t="shared" si="10"/>
        <v>31</v>
      </c>
    </row>
    <row r="63" spans="1:12" s="271" customFormat="1">
      <c r="A63" s="271">
        <f t="shared" si="11"/>
        <v>44</v>
      </c>
      <c r="B63" s="272">
        <f t="shared" si="7"/>
        <v>45689</v>
      </c>
      <c r="C63" s="272">
        <f t="shared" si="12"/>
        <v>45717</v>
      </c>
      <c r="D63" s="355"/>
      <c r="E63" s="274">
        <f t="shared" si="8"/>
        <v>86598.893333333326</v>
      </c>
      <c r="F63" s="274">
        <f t="shared" si="13"/>
        <v>8659889.333333347</v>
      </c>
      <c r="G63" s="273">
        <f t="shared" si="9"/>
        <v>50852.794585185256</v>
      </c>
      <c r="H63" s="273"/>
      <c r="I63" s="275">
        <f t="shared" si="5"/>
        <v>137451.68791851858</v>
      </c>
      <c r="J63" s="271">
        <f t="shared" si="10"/>
        <v>28</v>
      </c>
    </row>
    <row r="64" spans="1:12" s="271" customFormat="1">
      <c r="A64" s="271">
        <f t="shared" si="11"/>
        <v>45</v>
      </c>
      <c r="B64" s="272">
        <f t="shared" si="7"/>
        <v>45717</v>
      </c>
      <c r="C64" s="272">
        <f t="shared" si="12"/>
        <v>45748</v>
      </c>
      <c r="D64" s="355"/>
      <c r="E64" s="274">
        <f t="shared" si="8"/>
        <v>86598.893333333326</v>
      </c>
      <c r="F64" s="274">
        <f t="shared" si="13"/>
        <v>8573290.4400000144</v>
      </c>
      <c r="G64" s="273">
        <f t="shared" si="9"/>
        <v>55738.295207833427</v>
      </c>
      <c r="H64" s="273"/>
      <c r="I64" s="275">
        <f t="shared" si="5"/>
        <v>142337.18854116675</v>
      </c>
      <c r="J64" s="271">
        <f t="shared" si="10"/>
        <v>31</v>
      </c>
    </row>
    <row r="65" spans="1:12" s="271" customFormat="1">
      <c r="A65" s="271">
        <f t="shared" si="11"/>
        <v>46</v>
      </c>
      <c r="B65" s="272">
        <f t="shared" si="7"/>
        <v>45748</v>
      </c>
      <c r="C65" s="272">
        <f t="shared" si="12"/>
        <v>45778</v>
      </c>
      <c r="D65" s="355"/>
      <c r="E65" s="274">
        <f t="shared" si="8"/>
        <v>86598.893333333326</v>
      </c>
      <c r="F65" s="274">
        <f t="shared" si="13"/>
        <v>8486691.5466666818</v>
      </c>
      <c r="G65" s="273">
        <f t="shared" si="9"/>
        <v>53395.434314444545</v>
      </c>
      <c r="H65" s="273"/>
      <c r="I65" s="275">
        <f t="shared" si="5"/>
        <v>139994.32764777786</v>
      </c>
      <c r="J65" s="271">
        <f t="shared" si="10"/>
        <v>30</v>
      </c>
    </row>
    <row r="66" spans="1:12" s="271" customFormat="1">
      <c r="A66" s="271">
        <f t="shared" si="11"/>
        <v>47</v>
      </c>
      <c r="B66" s="272">
        <f t="shared" si="7"/>
        <v>45778</v>
      </c>
      <c r="C66" s="272">
        <f t="shared" si="12"/>
        <v>45809</v>
      </c>
      <c r="D66" s="355"/>
      <c r="E66" s="274">
        <f t="shared" si="8"/>
        <v>86598.893333333326</v>
      </c>
      <c r="F66" s="274">
        <f t="shared" si="13"/>
        <v>8400092.6533333492</v>
      </c>
      <c r="G66" s="273">
        <f t="shared" si="9"/>
        <v>54612.269042018626</v>
      </c>
      <c r="H66" s="273"/>
      <c r="I66" s="275">
        <f t="shared" si="5"/>
        <v>141211.16237535194</v>
      </c>
      <c r="J66" s="271">
        <f t="shared" si="10"/>
        <v>31</v>
      </c>
    </row>
    <row r="67" spans="1:12" s="271" customFormat="1">
      <c r="A67" s="271">
        <f t="shared" si="11"/>
        <v>48</v>
      </c>
      <c r="B67" s="272">
        <f t="shared" si="7"/>
        <v>45809</v>
      </c>
      <c r="C67" s="272">
        <f t="shared" si="12"/>
        <v>45839</v>
      </c>
      <c r="D67" s="355"/>
      <c r="E67" s="274">
        <f t="shared" si="8"/>
        <v>86598.893333333326</v>
      </c>
      <c r="F67" s="274">
        <f t="shared" si="13"/>
        <v>8313493.7600000156</v>
      </c>
      <c r="G67" s="273">
        <f t="shared" si="9"/>
        <v>52305.731573333433</v>
      </c>
      <c r="H67" s="273"/>
      <c r="I67" s="275">
        <f t="shared" si="5"/>
        <v>138904.62490666675</v>
      </c>
      <c r="J67" s="271">
        <f t="shared" si="10"/>
        <v>30</v>
      </c>
    </row>
    <row r="68" spans="1:12" s="271" customFormat="1">
      <c r="A68" s="271">
        <f t="shared" si="11"/>
        <v>49</v>
      </c>
      <c r="B68" s="272">
        <f t="shared" si="7"/>
        <v>45839</v>
      </c>
      <c r="C68" s="272">
        <f t="shared" si="12"/>
        <v>45870</v>
      </c>
      <c r="D68" s="355"/>
      <c r="E68" s="274">
        <f t="shared" si="8"/>
        <v>86598.893333333326</v>
      </c>
      <c r="F68" s="274">
        <f t="shared" si="13"/>
        <v>8226894.8666666821</v>
      </c>
      <c r="G68" s="273">
        <f t="shared" si="9"/>
        <v>53486.242876203803</v>
      </c>
      <c r="H68" s="273"/>
      <c r="I68" s="275">
        <f t="shared" si="5"/>
        <v>140085.13620953713</v>
      </c>
      <c r="J68" s="271">
        <f t="shared" si="10"/>
        <v>31</v>
      </c>
    </row>
    <row r="69" spans="1:12" s="271" customFormat="1">
      <c r="A69" s="271">
        <f t="shared" si="11"/>
        <v>50</v>
      </c>
      <c r="B69" s="272">
        <f t="shared" si="7"/>
        <v>45870</v>
      </c>
      <c r="C69" s="272">
        <f t="shared" si="12"/>
        <v>45901</v>
      </c>
      <c r="D69" s="355"/>
      <c r="E69" s="274">
        <f t="shared" si="8"/>
        <v>86598.893333333326</v>
      </c>
      <c r="F69" s="274">
        <f t="shared" si="13"/>
        <v>8140295.9733333485</v>
      </c>
      <c r="G69" s="273">
        <f t="shared" si="9"/>
        <v>52923.229793296392</v>
      </c>
      <c r="H69" s="273"/>
      <c r="I69" s="275">
        <f t="shared" si="5"/>
        <v>139522.12312662971</v>
      </c>
      <c r="J69" s="271">
        <f t="shared" si="10"/>
        <v>31</v>
      </c>
    </row>
    <row r="70" spans="1:12" s="271" customFormat="1">
      <c r="A70" s="271">
        <f t="shared" si="11"/>
        <v>51</v>
      </c>
      <c r="B70" s="272">
        <f t="shared" si="7"/>
        <v>45901</v>
      </c>
      <c r="C70" s="272">
        <f t="shared" si="12"/>
        <v>45931</v>
      </c>
      <c r="D70" s="355"/>
      <c r="E70" s="274">
        <f t="shared" si="8"/>
        <v>86598.893333333326</v>
      </c>
      <c r="F70" s="274">
        <f t="shared" si="13"/>
        <v>8053697.080000015</v>
      </c>
      <c r="G70" s="273">
        <f t="shared" si="9"/>
        <v>50671.177461666761</v>
      </c>
      <c r="H70" s="273"/>
      <c r="I70" s="275">
        <f t="shared" si="5"/>
        <v>137270.07079500009</v>
      </c>
      <c r="J70" s="271">
        <f t="shared" si="10"/>
        <v>30</v>
      </c>
    </row>
    <row r="71" spans="1:12" s="271" customFormat="1">
      <c r="A71" s="271">
        <f t="shared" si="11"/>
        <v>52</v>
      </c>
      <c r="B71" s="272">
        <f t="shared" si="7"/>
        <v>45931</v>
      </c>
      <c r="C71" s="272">
        <f t="shared" si="12"/>
        <v>45962</v>
      </c>
      <c r="D71" s="355"/>
      <c r="E71" s="274">
        <f t="shared" si="8"/>
        <v>86598.893333333326</v>
      </c>
      <c r="F71" s="274">
        <f t="shared" si="13"/>
        <v>7967098.1866666814</v>
      </c>
      <c r="G71" s="273">
        <f t="shared" si="9"/>
        <v>51797.203627481584</v>
      </c>
      <c r="H71" s="273"/>
      <c r="I71" s="275">
        <f t="shared" si="5"/>
        <v>138396.0969608149</v>
      </c>
      <c r="J71" s="271">
        <f t="shared" si="10"/>
        <v>31</v>
      </c>
    </row>
    <row r="72" spans="1:12" s="271" customFormat="1">
      <c r="A72" s="271">
        <f t="shared" si="11"/>
        <v>53</v>
      </c>
      <c r="B72" s="272">
        <f t="shared" si="7"/>
        <v>45962</v>
      </c>
      <c r="C72" s="272">
        <f t="shared" si="12"/>
        <v>45992</v>
      </c>
      <c r="D72" s="355"/>
      <c r="E72" s="274">
        <f t="shared" si="8"/>
        <v>86598.893333333326</v>
      </c>
      <c r="F72" s="274">
        <f t="shared" si="13"/>
        <v>7880499.2933333479</v>
      </c>
      <c r="G72" s="273">
        <f t="shared" si="9"/>
        <v>49581.474720555649</v>
      </c>
      <c r="H72" s="273"/>
      <c r="I72" s="275">
        <f t="shared" si="5"/>
        <v>136180.36805388896</v>
      </c>
      <c r="J72" s="271">
        <f t="shared" si="10"/>
        <v>30</v>
      </c>
    </row>
    <row r="73" spans="1:12" s="281" customFormat="1">
      <c r="A73" s="281">
        <f t="shared" si="11"/>
        <v>54</v>
      </c>
      <c r="B73" s="282">
        <f t="shared" si="7"/>
        <v>45992</v>
      </c>
      <c r="C73" s="282">
        <f t="shared" si="12"/>
        <v>46023</v>
      </c>
      <c r="D73" s="354"/>
      <c r="E73" s="283">
        <f t="shared" si="8"/>
        <v>86598.893333333326</v>
      </c>
      <c r="F73" s="283">
        <f t="shared" si="13"/>
        <v>7793900.4000000143</v>
      </c>
      <c r="G73" s="285">
        <f t="shared" si="9"/>
        <v>50671.177461666761</v>
      </c>
      <c r="H73" s="285"/>
      <c r="I73" s="284">
        <f t="shared" si="5"/>
        <v>137270.07079500009</v>
      </c>
      <c r="J73" s="281">
        <f t="shared" si="10"/>
        <v>31</v>
      </c>
      <c r="K73" s="286">
        <f>SUM(E62:E73)</f>
        <v>1039186.7199999999</v>
      </c>
      <c r="L73" s="286">
        <f>SUM(G62:G73)</f>
        <v>632899.35203733435</v>
      </c>
    </row>
    <row r="74" spans="1:12" s="271" customFormat="1">
      <c r="A74" s="271">
        <f t="shared" si="11"/>
        <v>55</v>
      </c>
      <c r="B74" s="272">
        <f t="shared" si="7"/>
        <v>46023</v>
      </c>
      <c r="C74" s="272">
        <f t="shared" si="12"/>
        <v>46054</v>
      </c>
      <c r="D74" s="355"/>
      <c r="E74" s="274">
        <f t="shared" si="8"/>
        <v>86598.893333333326</v>
      </c>
      <c r="F74" s="274">
        <f t="shared" si="13"/>
        <v>7707301.5066666808</v>
      </c>
      <c r="G74" s="273">
        <f t="shared" si="9"/>
        <v>50108.164378759349</v>
      </c>
      <c r="H74" s="273"/>
      <c r="I74" s="275">
        <f t="shared" si="5"/>
        <v>136707.05771209268</v>
      </c>
      <c r="J74" s="271">
        <f t="shared" si="10"/>
        <v>31</v>
      </c>
    </row>
    <row r="75" spans="1:12" s="271" customFormat="1">
      <c r="A75" s="271">
        <f t="shared" si="11"/>
        <v>56</v>
      </c>
      <c r="B75" s="272">
        <f t="shared" si="7"/>
        <v>46054</v>
      </c>
      <c r="C75" s="272">
        <f t="shared" si="12"/>
        <v>46082</v>
      </c>
      <c r="D75" s="355"/>
      <c r="E75" s="274">
        <f t="shared" si="8"/>
        <v>86598.893333333326</v>
      </c>
      <c r="F75" s="274">
        <f t="shared" si="13"/>
        <v>7620702.6133333473</v>
      </c>
      <c r="G75" s="273">
        <f t="shared" si="9"/>
        <v>44750.45923496304</v>
      </c>
      <c r="H75" s="273"/>
      <c r="I75" s="275">
        <f t="shared" si="5"/>
        <v>131349.35256829637</v>
      </c>
      <c r="J75" s="271">
        <f t="shared" si="10"/>
        <v>28</v>
      </c>
    </row>
    <row r="76" spans="1:12" s="271" customFormat="1">
      <c r="A76" s="271">
        <f t="shared" si="11"/>
        <v>57</v>
      </c>
      <c r="B76" s="272">
        <f t="shared" si="7"/>
        <v>46082</v>
      </c>
      <c r="C76" s="272">
        <f t="shared" si="12"/>
        <v>46113</v>
      </c>
      <c r="D76" s="355"/>
      <c r="E76" s="274">
        <f t="shared" si="8"/>
        <v>86598.893333333326</v>
      </c>
      <c r="F76" s="274">
        <f t="shared" si="13"/>
        <v>7534103.7200000137</v>
      </c>
      <c r="G76" s="273">
        <f t="shared" si="9"/>
        <v>48982.138212944534</v>
      </c>
      <c r="H76" s="273"/>
      <c r="I76" s="275">
        <f t="shared" si="5"/>
        <v>135581.03154627787</v>
      </c>
      <c r="J76" s="271">
        <f t="shared" si="10"/>
        <v>31</v>
      </c>
    </row>
    <row r="77" spans="1:12" s="271" customFormat="1">
      <c r="A77" s="271">
        <f t="shared" si="11"/>
        <v>58</v>
      </c>
      <c r="B77" s="272">
        <f t="shared" si="7"/>
        <v>46113</v>
      </c>
      <c r="C77" s="272">
        <f t="shared" si="12"/>
        <v>46143</v>
      </c>
      <c r="D77" s="355"/>
      <c r="E77" s="274">
        <f t="shared" si="8"/>
        <v>86598.893333333326</v>
      </c>
      <c r="F77" s="274">
        <f t="shared" si="13"/>
        <v>7447504.8266666802</v>
      </c>
      <c r="G77" s="273">
        <f t="shared" si="9"/>
        <v>46857.217867777872</v>
      </c>
      <c r="H77" s="273"/>
      <c r="I77" s="275">
        <f t="shared" si="5"/>
        <v>133456.1112011112</v>
      </c>
      <c r="J77" s="271">
        <f t="shared" si="10"/>
        <v>30</v>
      </c>
    </row>
    <row r="78" spans="1:12" s="271" customFormat="1">
      <c r="A78" s="271">
        <f t="shared" si="11"/>
        <v>59</v>
      </c>
      <c r="B78" s="272">
        <f t="shared" si="7"/>
        <v>46143</v>
      </c>
      <c r="C78" s="272">
        <f t="shared" si="12"/>
        <v>46174</v>
      </c>
      <c r="D78" s="355"/>
      <c r="E78" s="274">
        <f t="shared" si="8"/>
        <v>86598.893333333326</v>
      </c>
      <c r="F78" s="274">
        <f t="shared" si="13"/>
        <v>7360905.9333333466</v>
      </c>
      <c r="G78" s="273">
        <f t="shared" si="9"/>
        <v>47856.112047129711</v>
      </c>
      <c r="H78" s="273"/>
      <c r="I78" s="275">
        <f t="shared" si="5"/>
        <v>134455.00538046303</v>
      </c>
      <c r="J78" s="271">
        <f t="shared" si="10"/>
        <v>31</v>
      </c>
    </row>
    <row r="79" spans="1:12" s="271" customFormat="1">
      <c r="A79" s="271">
        <f t="shared" si="11"/>
        <v>60</v>
      </c>
      <c r="B79" s="272">
        <f t="shared" si="7"/>
        <v>46174</v>
      </c>
      <c r="C79" s="272">
        <f t="shared" si="12"/>
        <v>46204</v>
      </c>
      <c r="D79" s="355"/>
      <c r="E79" s="274">
        <f t="shared" si="8"/>
        <v>86598.893333333326</v>
      </c>
      <c r="F79" s="274">
        <f t="shared" si="13"/>
        <v>7274307.0400000131</v>
      </c>
      <c r="G79" s="273">
        <f t="shared" si="9"/>
        <v>45767.515126666753</v>
      </c>
      <c r="H79" s="273"/>
      <c r="I79" s="275">
        <f t="shared" si="5"/>
        <v>132366.40846000006</v>
      </c>
      <c r="J79" s="271">
        <f t="shared" si="10"/>
        <v>30</v>
      </c>
    </row>
    <row r="80" spans="1:12" s="271" customFormat="1">
      <c r="A80" s="271">
        <f t="shared" si="11"/>
        <v>61</v>
      </c>
      <c r="B80" s="272">
        <f t="shared" si="7"/>
        <v>46204</v>
      </c>
      <c r="C80" s="272">
        <f t="shared" si="12"/>
        <v>46235</v>
      </c>
      <c r="D80" s="355"/>
      <c r="E80" s="274">
        <f t="shared" si="8"/>
        <v>86598.893333333326</v>
      </c>
      <c r="F80" s="274">
        <f t="shared" si="13"/>
        <v>7187708.1466666795</v>
      </c>
      <c r="G80" s="273">
        <f t="shared" si="9"/>
        <v>46730.085881314903</v>
      </c>
      <c r="H80" s="273"/>
      <c r="I80" s="275">
        <f t="shared" si="5"/>
        <v>133328.97921464822</v>
      </c>
      <c r="J80" s="271">
        <f t="shared" si="10"/>
        <v>31</v>
      </c>
    </row>
    <row r="81" spans="1:12" s="271" customFormat="1">
      <c r="A81" s="271">
        <f t="shared" si="11"/>
        <v>62</v>
      </c>
      <c r="B81" s="272">
        <f t="shared" si="7"/>
        <v>46235</v>
      </c>
      <c r="C81" s="272">
        <f t="shared" si="12"/>
        <v>46266</v>
      </c>
      <c r="D81" s="355"/>
      <c r="E81" s="274">
        <f t="shared" si="8"/>
        <v>86598.893333333326</v>
      </c>
      <c r="F81" s="274">
        <f t="shared" si="13"/>
        <v>7101109.253333346</v>
      </c>
      <c r="G81" s="273">
        <f t="shared" si="9"/>
        <v>46167.072798407491</v>
      </c>
      <c r="H81" s="273"/>
      <c r="I81" s="275">
        <f t="shared" ref="I81:I144" si="14">E81+G81</f>
        <v>132765.96613174083</v>
      </c>
      <c r="J81" s="271">
        <f t="shared" si="10"/>
        <v>31</v>
      </c>
    </row>
    <row r="82" spans="1:12" s="271" customFormat="1">
      <c r="A82" s="271">
        <f t="shared" si="11"/>
        <v>63</v>
      </c>
      <c r="B82" s="272">
        <f t="shared" si="7"/>
        <v>46266</v>
      </c>
      <c r="C82" s="272">
        <f t="shared" si="12"/>
        <v>46296</v>
      </c>
      <c r="D82" s="355"/>
      <c r="E82" s="274">
        <f t="shared" si="8"/>
        <v>86598.893333333326</v>
      </c>
      <c r="F82" s="274">
        <f t="shared" si="13"/>
        <v>7014510.3600000124</v>
      </c>
      <c r="G82" s="273">
        <f t="shared" si="9"/>
        <v>44132.961015000081</v>
      </c>
      <c r="H82" s="273"/>
      <c r="I82" s="275">
        <f t="shared" si="14"/>
        <v>130731.85434833341</v>
      </c>
      <c r="J82" s="271">
        <f t="shared" si="10"/>
        <v>30</v>
      </c>
    </row>
    <row r="83" spans="1:12" s="271" customFormat="1">
      <c r="A83" s="271">
        <f t="shared" si="11"/>
        <v>64</v>
      </c>
      <c r="B83" s="272">
        <f t="shared" si="7"/>
        <v>46296</v>
      </c>
      <c r="C83" s="272">
        <f t="shared" si="12"/>
        <v>46327</v>
      </c>
      <c r="D83" s="355"/>
      <c r="E83" s="274">
        <f t="shared" si="8"/>
        <v>86598.893333333326</v>
      </c>
      <c r="F83" s="274">
        <f t="shared" si="13"/>
        <v>6927911.4666666789</v>
      </c>
      <c r="G83" s="273">
        <f t="shared" si="9"/>
        <v>45041.046632592675</v>
      </c>
      <c r="H83" s="273"/>
      <c r="I83" s="275">
        <f t="shared" si="14"/>
        <v>131639.93996592599</v>
      </c>
      <c r="J83" s="271">
        <f t="shared" si="10"/>
        <v>31</v>
      </c>
    </row>
    <row r="84" spans="1:12" s="271" customFormat="1">
      <c r="A84" s="271">
        <f t="shared" si="11"/>
        <v>65</v>
      </c>
      <c r="B84" s="272">
        <f t="shared" si="7"/>
        <v>46327</v>
      </c>
      <c r="C84" s="272">
        <f t="shared" si="12"/>
        <v>46357</v>
      </c>
      <c r="D84" s="355"/>
      <c r="E84" s="274">
        <f t="shared" si="8"/>
        <v>86598.893333333326</v>
      </c>
      <c r="F84" s="274">
        <f t="shared" si="13"/>
        <v>6841312.5733333454</v>
      </c>
      <c r="G84" s="273">
        <f t="shared" si="9"/>
        <v>43043.258273888969</v>
      </c>
      <c r="H84" s="273"/>
      <c r="I84" s="275">
        <f t="shared" si="14"/>
        <v>129642.1516072223</v>
      </c>
      <c r="J84" s="271">
        <f t="shared" si="10"/>
        <v>30</v>
      </c>
    </row>
    <row r="85" spans="1:12" s="281" customFormat="1">
      <c r="A85" s="281">
        <f t="shared" si="11"/>
        <v>66</v>
      </c>
      <c r="B85" s="282">
        <f t="shared" ref="B85:B148" si="15">EOMONTH(B84,0)+1</f>
        <v>46357</v>
      </c>
      <c r="C85" s="282">
        <f t="shared" si="12"/>
        <v>46388</v>
      </c>
      <c r="D85" s="354"/>
      <c r="E85" s="283">
        <f t="shared" ref="E85:E148" si="16">E84</f>
        <v>86598.893333333326</v>
      </c>
      <c r="F85" s="283">
        <f t="shared" si="13"/>
        <v>6754713.6800000118</v>
      </c>
      <c r="G85" s="285">
        <f t="shared" si="9"/>
        <v>43915.020466777853</v>
      </c>
      <c r="H85" s="285"/>
      <c r="I85" s="284">
        <f t="shared" si="14"/>
        <v>130513.91380011119</v>
      </c>
      <c r="J85" s="281">
        <f t="shared" si="10"/>
        <v>31</v>
      </c>
      <c r="K85" s="286">
        <f>SUM(E74:E85)</f>
        <v>1039186.7199999999</v>
      </c>
      <c r="L85" s="286">
        <f>SUM(G74:G85)</f>
        <v>553351.05193622329</v>
      </c>
    </row>
    <row r="86" spans="1:12" s="271" customFormat="1">
      <c r="A86" s="271">
        <f t="shared" si="11"/>
        <v>67</v>
      </c>
      <c r="B86" s="272">
        <f t="shared" si="15"/>
        <v>46388</v>
      </c>
      <c r="C86" s="272">
        <f t="shared" si="12"/>
        <v>46419</v>
      </c>
      <c r="D86" s="355"/>
      <c r="E86" s="274">
        <f t="shared" si="16"/>
        <v>86598.893333333326</v>
      </c>
      <c r="F86" s="274">
        <f t="shared" si="13"/>
        <v>6668114.7866666783</v>
      </c>
      <c r="G86" s="273">
        <f t="shared" si="9"/>
        <v>43352.007383870448</v>
      </c>
      <c r="H86" s="273"/>
      <c r="I86" s="275">
        <f t="shared" si="14"/>
        <v>129950.90071720377</v>
      </c>
      <c r="J86" s="271">
        <f t="shared" si="10"/>
        <v>31</v>
      </c>
    </row>
    <row r="87" spans="1:12" s="271" customFormat="1">
      <c r="A87" s="271">
        <f t="shared" si="11"/>
        <v>68</v>
      </c>
      <c r="B87" s="272">
        <f t="shared" si="15"/>
        <v>46419</v>
      </c>
      <c r="C87" s="272">
        <f t="shared" si="12"/>
        <v>46447</v>
      </c>
      <c r="D87" s="355"/>
      <c r="E87" s="274">
        <f t="shared" si="16"/>
        <v>86598.893333333326</v>
      </c>
      <c r="F87" s="274">
        <f t="shared" si="13"/>
        <v>6581515.8933333447</v>
      </c>
      <c r="G87" s="273">
        <f t="shared" si="9"/>
        <v>38648.123884740802</v>
      </c>
      <c r="H87" s="273"/>
      <c r="I87" s="275">
        <f t="shared" si="14"/>
        <v>125247.01721807412</v>
      </c>
      <c r="J87" s="271">
        <f t="shared" si="10"/>
        <v>28</v>
      </c>
    </row>
    <row r="88" spans="1:12" s="271" customFormat="1">
      <c r="A88" s="271">
        <f t="shared" ref="A88:A147" si="17">A87+1</f>
        <v>69</v>
      </c>
      <c r="B88" s="272">
        <f t="shared" si="15"/>
        <v>46447</v>
      </c>
      <c r="C88" s="272">
        <f t="shared" si="12"/>
        <v>46478</v>
      </c>
      <c r="D88" s="355"/>
      <c r="E88" s="274">
        <f t="shared" si="16"/>
        <v>86598.893333333326</v>
      </c>
      <c r="F88" s="274">
        <f t="shared" si="13"/>
        <v>6494917.0000000112</v>
      </c>
      <c r="G88" s="273">
        <f t="shared" ref="G88:G151" si="18">J88*$E$8*F88/360</f>
        <v>42225.981218055633</v>
      </c>
      <c r="H88" s="273"/>
      <c r="I88" s="275">
        <f t="shared" si="14"/>
        <v>128824.87455138896</v>
      </c>
      <c r="J88" s="271">
        <f t="shared" ref="J88:J151" si="19">B89-B88</f>
        <v>31</v>
      </c>
    </row>
    <row r="89" spans="1:12" s="271" customFormat="1">
      <c r="A89" s="271">
        <f t="shared" si="17"/>
        <v>70</v>
      </c>
      <c r="B89" s="272">
        <f t="shared" si="15"/>
        <v>46478</v>
      </c>
      <c r="C89" s="272">
        <f t="shared" si="12"/>
        <v>46508</v>
      </c>
      <c r="D89" s="355"/>
      <c r="E89" s="274">
        <f t="shared" si="16"/>
        <v>86598.893333333326</v>
      </c>
      <c r="F89" s="274">
        <f t="shared" si="13"/>
        <v>6408318.1066666776</v>
      </c>
      <c r="G89" s="273">
        <f t="shared" si="18"/>
        <v>40319.001421111177</v>
      </c>
      <c r="H89" s="273"/>
      <c r="I89" s="275">
        <f t="shared" si="14"/>
        <v>126917.89475444451</v>
      </c>
      <c r="J89" s="271">
        <f t="shared" si="19"/>
        <v>30</v>
      </c>
    </row>
    <row r="90" spans="1:12" s="271" customFormat="1">
      <c r="A90" s="271">
        <f t="shared" si="17"/>
        <v>71</v>
      </c>
      <c r="B90" s="272">
        <f t="shared" si="15"/>
        <v>46508</v>
      </c>
      <c r="C90" s="272">
        <f t="shared" si="12"/>
        <v>46539</v>
      </c>
      <c r="D90" s="355"/>
      <c r="E90" s="274">
        <f t="shared" si="16"/>
        <v>86598.893333333326</v>
      </c>
      <c r="F90" s="274">
        <f t="shared" si="13"/>
        <v>6321719.2133333441</v>
      </c>
      <c r="G90" s="273">
        <f t="shared" si="18"/>
        <v>41099.95505224081</v>
      </c>
      <c r="H90" s="273"/>
      <c r="I90" s="275">
        <f t="shared" si="14"/>
        <v>127698.84838557414</v>
      </c>
      <c r="J90" s="271">
        <f t="shared" si="19"/>
        <v>31</v>
      </c>
    </row>
    <row r="91" spans="1:12" s="271" customFormat="1">
      <c r="A91" s="271">
        <f t="shared" si="17"/>
        <v>72</v>
      </c>
      <c r="B91" s="272">
        <f t="shared" si="15"/>
        <v>46539</v>
      </c>
      <c r="C91" s="272">
        <f t="shared" si="12"/>
        <v>46569</v>
      </c>
      <c r="D91" s="355"/>
      <c r="E91" s="274">
        <f t="shared" si="16"/>
        <v>86598.893333333326</v>
      </c>
      <c r="F91" s="274">
        <f t="shared" si="13"/>
        <v>6235120.3200000105</v>
      </c>
      <c r="G91" s="273">
        <f t="shared" si="18"/>
        <v>39229.298680000073</v>
      </c>
      <c r="H91" s="273"/>
      <c r="I91" s="275">
        <f t="shared" si="14"/>
        <v>125828.19201333341</v>
      </c>
      <c r="J91" s="271">
        <f t="shared" si="19"/>
        <v>30</v>
      </c>
    </row>
    <row r="92" spans="1:12" s="271" customFormat="1">
      <c r="A92" s="271">
        <f t="shared" si="17"/>
        <v>73</v>
      </c>
      <c r="B92" s="272">
        <f t="shared" si="15"/>
        <v>46569</v>
      </c>
      <c r="C92" s="272">
        <f t="shared" si="12"/>
        <v>46600</v>
      </c>
      <c r="D92" s="355"/>
      <c r="E92" s="274">
        <f t="shared" si="16"/>
        <v>86598.893333333326</v>
      </c>
      <c r="F92" s="274">
        <f t="shared" si="13"/>
        <v>6148521.426666677</v>
      </c>
      <c r="G92" s="273">
        <f t="shared" si="18"/>
        <v>39973.928886425994</v>
      </c>
      <c r="H92" s="273"/>
      <c r="I92" s="275">
        <f t="shared" si="14"/>
        <v>126572.82221975931</v>
      </c>
      <c r="J92" s="271">
        <f t="shared" si="19"/>
        <v>31</v>
      </c>
    </row>
    <row r="93" spans="1:12" s="271" customFormat="1">
      <c r="A93" s="271">
        <f t="shared" si="17"/>
        <v>74</v>
      </c>
      <c r="B93" s="272">
        <f t="shared" si="15"/>
        <v>46600</v>
      </c>
      <c r="C93" s="272">
        <f t="shared" ref="C93:C156" si="20">B94</f>
        <v>46631</v>
      </c>
      <c r="D93" s="355"/>
      <c r="E93" s="274">
        <f t="shared" si="16"/>
        <v>86598.893333333326</v>
      </c>
      <c r="F93" s="274">
        <f t="shared" ref="F93:F156" si="21">F92-E92</f>
        <v>6061922.5333333435</v>
      </c>
      <c r="G93" s="273">
        <f t="shared" si="18"/>
        <v>39410.915803518583</v>
      </c>
      <c r="H93" s="273"/>
      <c r="I93" s="275">
        <f t="shared" si="14"/>
        <v>126009.80913685191</v>
      </c>
      <c r="J93" s="271">
        <f t="shared" si="19"/>
        <v>31</v>
      </c>
    </row>
    <row r="94" spans="1:12" s="271" customFormat="1">
      <c r="A94" s="271">
        <f t="shared" si="17"/>
        <v>75</v>
      </c>
      <c r="B94" s="272">
        <f t="shared" si="15"/>
        <v>46631</v>
      </c>
      <c r="C94" s="272">
        <f t="shared" si="20"/>
        <v>46661</v>
      </c>
      <c r="D94" s="355"/>
      <c r="E94" s="274">
        <f t="shared" si="16"/>
        <v>86598.893333333326</v>
      </c>
      <c r="F94" s="274">
        <f t="shared" si="21"/>
        <v>5975323.6400000099</v>
      </c>
      <c r="G94" s="273">
        <f t="shared" si="18"/>
        <v>37594.744568333394</v>
      </c>
      <c r="H94" s="273"/>
      <c r="I94" s="275">
        <f t="shared" si="14"/>
        <v>124193.63790166672</v>
      </c>
      <c r="J94" s="271">
        <f t="shared" si="19"/>
        <v>30</v>
      </c>
    </row>
    <row r="95" spans="1:12" s="271" customFormat="1">
      <c r="A95" s="271">
        <f t="shared" si="17"/>
        <v>76</v>
      </c>
      <c r="B95" s="272">
        <f t="shared" si="15"/>
        <v>46661</v>
      </c>
      <c r="C95" s="272">
        <f t="shared" si="20"/>
        <v>46692</v>
      </c>
      <c r="D95" s="355"/>
      <c r="E95" s="274">
        <f t="shared" si="16"/>
        <v>86598.893333333326</v>
      </c>
      <c r="F95" s="274">
        <f t="shared" si="21"/>
        <v>5888724.7466666764</v>
      </c>
      <c r="G95" s="273">
        <f t="shared" si="18"/>
        <v>38284.889637703767</v>
      </c>
      <c r="H95" s="273"/>
      <c r="I95" s="275">
        <f t="shared" si="14"/>
        <v>124883.78297103709</v>
      </c>
      <c r="J95" s="271">
        <f t="shared" si="19"/>
        <v>31</v>
      </c>
    </row>
    <row r="96" spans="1:12" s="271" customFormat="1">
      <c r="A96" s="271">
        <f t="shared" si="17"/>
        <v>77</v>
      </c>
      <c r="B96" s="272">
        <f t="shared" si="15"/>
        <v>46692</v>
      </c>
      <c r="C96" s="272">
        <f t="shared" si="20"/>
        <v>46722</v>
      </c>
      <c r="D96" s="355"/>
      <c r="E96" s="274">
        <f t="shared" si="16"/>
        <v>86598.893333333326</v>
      </c>
      <c r="F96" s="274">
        <f t="shared" si="21"/>
        <v>5802125.8533333428</v>
      </c>
      <c r="G96" s="273">
        <f t="shared" si="18"/>
        <v>36505.041827222289</v>
      </c>
      <c r="H96" s="273"/>
      <c r="I96" s="275">
        <f t="shared" si="14"/>
        <v>123103.93516055561</v>
      </c>
      <c r="J96" s="271">
        <f t="shared" si="19"/>
        <v>30</v>
      </c>
    </row>
    <row r="97" spans="1:12" s="281" customFormat="1">
      <c r="A97" s="281">
        <f t="shared" si="17"/>
        <v>78</v>
      </c>
      <c r="B97" s="282">
        <f t="shared" si="15"/>
        <v>46722</v>
      </c>
      <c r="C97" s="282">
        <f t="shared" si="20"/>
        <v>46753</v>
      </c>
      <c r="D97" s="354"/>
      <c r="E97" s="283">
        <f t="shared" si="16"/>
        <v>86598.893333333326</v>
      </c>
      <c r="F97" s="283">
        <f t="shared" si="21"/>
        <v>5715526.9600000093</v>
      </c>
      <c r="G97" s="285">
        <f t="shared" si="18"/>
        <v>37158.863471888944</v>
      </c>
      <c r="H97" s="285"/>
      <c r="I97" s="284">
        <f t="shared" si="14"/>
        <v>123757.75680522228</v>
      </c>
      <c r="J97" s="281">
        <f t="shared" si="19"/>
        <v>31</v>
      </c>
      <c r="K97" s="286">
        <f>SUM(E86:E97)</f>
        <v>1039186.7199999999</v>
      </c>
      <c r="L97" s="286">
        <f>SUM(G86:G97)</f>
        <v>473802.75183511182</v>
      </c>
    </row>
    <row r="98" spans="1:12" s="271" customFormat="1">
      <c r="A98" s="271">
        <f t="shared" si="17"/>
        <v>79</v>
      </c>
      <c r="B98" s="272">
        <f t="shared" si="15"/>
        <v>46753</v>
      </c>
      <c r="C98" s="272">
        <f t="shared" si="20"/>
        <v>46784</v>
      </c>
      <c r="D98" s="355"/>
      <c r="E98" s="274">
        <f t="shared" si="16"/>
        <v>86598.893333333326</v>
      </c>
      <c r="F98" s="274">
        <f t="shared" si="21"/>
        <v>5628928.0666666757</v>
      </c>
      <c r="G98" s="273">
        <f t="shared" si="18"/>
        <v>36595.85038898154</v>
      </c>
      <c r="H98" s="273"/>
      <c r="I98" s="275">
        <f t="shared" si="14"/>
        <v>123194.74372231486</v>
      </c>
      <c r="J98" s="271">
        <f t="shared" si="19"/>
        <v>31</v>
      </c>
    </row>
    <row r="99" spans="1:12" s="271" customFormat="1">
      <c r="A99" s="271">
        <f t="shared" si="17"/>
        <v>80</v>
      </c>
      <c r="B99" s="272">
        <f t="shared" si="15"/>
        <v>46784</v>
      </c>
      <c r="C99" s="272">
        <f t="shared" si="20"/>
        <v>46813</v>
      </c>
      <c r="D99" s="355"/>
      <c r="E99" s="274">
        <f t="shared" si="16"/>
        <v>86598.893333333326</v>
      </c>
      <c r="F99" s="274">
        <f t="shared" si="21"/>
        <v>5542329.1733333422</v>
      </c>
      <c r="G99" s="273">
        <f t="shared" si="18"/>
        <v>33708.138125037083</v>
      </c>
      <c r="H99" s="273"/>
      <c r="I99" s="275">
        <f t="shared" si="14"/>
        <v>120307.03145837042</v>
      </c>
      <c r="J99" s="271">
        <f t="shared" si="19"/>
        <v>29</v>
      </c>
    </row>
    <row r="100" spans="1:12" s="271" customFormat="1">
      <c r="A100" s="271">
        <f t="shared" si="17"/>
        <v>81</v>
      </c>
      <c r="B100" s="272">
        <f t="shared" si="15"/>
        <v>46813</v>
      </c>
      <c r="C100" s="272">
        <f t="shared" si="20"/>
        <v>46844</v>
      </c>
      <c r="D100" s="355"/>
      <c r="E100" s="274">
        <f t="shared" si="16"/>
        <v>86598.893333333326</v>
      </c>
      <c r="F100" s="274">
        <f t="shared" si="21"/>
        <v>5455730.2800000086</v>
      </c>
      <c r="G100" s="273">
        <f t="shared" si="18"/>
        <v>35469.824223166725</v>
      </c>
      <c r="H100" s="273"/>
      <c r="I100" s="275">
        <f t="shared" si="14"/>
        <v>122068.71755650005</v>
      </c>
      <c r="J100" s="271">
        <f t="shared" si="19"/>
        <v>31</v>
      </c>
    </row>
    <row r="101" spans="1:12" s="271" customFormat="1">
      <c r="A101" s="271">
        <f t="shared" si="17"/>
        <v>82</v>
      </c>
      <c r="B101" s="272">
        <f t="shared" si="15"/>
        <v>46844</v>
      </c>
      <c r="C101" s="272">
        <f t="shared" si="20"/>
        <v>46874</v>
      </c>
      <c r="D101" s="355"/>
      <c r="E101" s="274">
        <f t="shared" si="16"/>
        <v>86598.893333333326</v>
      </c>
      <c r="F101" s="274">
        <f t="shared" si="21"/>
        <v>5369131.3866666751</v>
      </c>
      <c r="G101" s="273">
        <f t="shared" si="18"/>
        <v>33780.784974444497</v>
      </c>
      <c r="H101" s="273"/>
      <c r="I101" s="275">
        <f t="shared" si="14"/>
        <v>120379.67830777782</v>
      </c>
      <c r="J101" s="271">
        <f t="shared" si="19"/>
        <v>30</v>
      </c>
    </row>
    <row r="102" spans="1:12" s="271" customFormat="1">
      <c r="A102" s="271">
        <f t="shared" si="17"/>
        <v>83</v>
      </c>
      <c r="B102" s="272">
        <f t="shared" si="15"/>
        <v>46874</v>
      </c>
      <c r="C102" s="272">
        <f t="shared" si="20"/>
        <v>46905</v>
      </c>
      <c r="D102" s="355"/>
      <c r="E102" s="274">
        <f t="shared" si="16"/>
        <v>86598.893333333326</v>
      </c>
      <c r="F102" s="274">
        <f t="shared" si="21"/>
        <v>5282532.4933333416</v>
      </c>
      <c r="G102" s="273">
        <f t="shared" si="18"/>
        <v>34343.798057351909</v>
      </c>
      <c r="H102" s="273"/>
      <c r="I102" s="275">
        <f t="shared" si="14"/>
        <v>120942.69139068524</v>
      </c>
      <c r="J102" s="271">
        <f t="shared" si="19"/>
        <v>31</v>
      </c>
    </row>
    <row r="103" spans="1:12" s="271" customFormat="1">
      <c r="A103" s="271">
        <f t="shared" si="17"/>
        <v>84</v>
      </c>
      <c r="B103" s="272">
        <f t="shared" si="15"/>
        <v>46905</v>
      </c>
      <c r="C103" s="272">
        <f t="shared" si="20"/>
        <v>46935</v>
      </c>
      <c r="D103" s="355"/>
      <c r="E103" s="274">
        <f t="shared" si="16"/>
        <v>86598.893333333326</v>
      </c>
      <c r="F103" s="274">
        <f t="shared" si="21"/>
        <v>5195933.600000008</v>
      </c>
      <c r="G103" s="273">
        <f t="shared" si="18"/>
        <v>32691.082233333385</v>
      </c>
      <c r="H103" s="273"/>
      <c r="I103" s="275">
        <f t="shared" si="14"/>
        <v>119289.97556666672</v>
      </c>
      <c r="J103" s="271">
        <f t="shared" si="19"/>
        <v>30</v>
      </c>
    </row>
    <row r="104" spans="1:12" s="271" customFormat="1">
      <c r="A104" s="271">
        <f t="shared" si="17"/>
        <v>85</v>
      </c>
      <c r="B104" s="272">
        <f t="shared" si="15"/>
        <v>46935</v>
      </c>
      <c r="C104" s="272">
        <f t="shared" si="20"/>
        <v>46966</v>
      </c>
      <c r="D104" s="355"/>
      <c r="E104" s="274">
        <f t="shared" si="16"/>
        <v>86598.893333333326</v>
      </c>
      <c r="F104" s="274">
        <f t="shared" si="21"/>
        <v>5109334.7066666745</v>
      </c>
      <c r="G104" s="273">
        <f t="shared" si="18"/>
        <v>33217.771891537086</v>
      </c>
      <c r="H104" s="273"/>
      <c r="I104" s="275">
        <f t="shared" si="14"/>
        <v>119816.6652248704</v>
      </c>
      <c r="J104" s="271">
        <f t="shared" si="19"/>
        <v>31</v>
      </c>
    </row>
    <row r="105" spans="1:12" s="271" customFormat="1">
      <c r="A105" s="271">
        <f t="shared" si="17"/>
        <v>86</v>
      </c>
      <c r="B105" s="272">
        <f t="shared" si="15"/>
        <v>46966</v>
      </c>
      <c r="C105" s="272">
        <f t="shared" si="20"/>
        <v>46997</v>
      </c>
      <c r="D105" s="355"/>
      <c r="E105" s="274">
        <f t="shared" si="16"/>
        <v>86598.893333333326</v>
      </c>
      <c r="F105" s="274">
        <f t="shared" si="21"/>
        <v>5022735.8133333409</v>
      </c>
      <c r="G105" s="273">
        <f t="shared" si="18"/>
        <v>32654.758808629682</v>
      </c>
      <c r="H105" s="273"/>
      <c r="I105" s="275">
        <f t="shared" si="14"/>
        <v>119253.65214196302</v>
      </c>
      <c r="J105" s="271">
        <f t="shared" si="19"/>
        <v>31</v>
      </c>
    </row>
    <row r="106" spans="1:12" s="271" customFormat="1">
      <c r="A106" s="271">
        <f t="shared" si="17"/>
        <v>87</v>
      </c>
      <c r="B106" s="272">
        <f t="shared" si="15"/>
        <v>46997</v>
      </c>
      <c r="C106" s="272">
        <f t="shared" si="20"/>
        <v>47027</v>
      </c>
      <c r="D106" s="355"/>
      <c r="E106" s="274">
        <f t="shared" si="16"/>
        <v>86598.893333333326</v>
      </c>
      <c r="F106" s="274">
        <f t="shared" si="21"/>
        <v>4936136.9200000074</v>
      </c>
      <c r="G106" s="273">
        <f t="shared" si="18"/>
        <v>31056.528121666714</v>
      </c>
      <c r="H106" s="273"/>
      <c r="I106" s="275">
        <f t="shared" si="14"/>
        <v>117655.42145500003</v>
      </c>
      <c r="J106" s="271">
        <f t="shared" si="19"/>
        <v>30</v>
      </c>
    </row>
    <row r="107" spans="1:12" s="271" customFormat="1">
      <c r="A107" s="271">
        <f t="shared" si="17"/>
        <v>88</v>
      </c>
      <c r="B107" s="272">
        <f t="shared" si="15"/>
        <v>47027</v>
      </c>
      <c r="C107" s="272">
        <f t="shared" si="20"/>
        <v>47058</v>
      </c>
      <c r="D107" s="355"/>
      <c r="E107" s="274">
        <f t="shared" si="16"/>
        <v>86598.893333333326</v>
      </c>
      <c r="F107" s="274">
        <f t="shared" si="21"/>
        <v>4849538.0266666738</v>
      </c>
      <c r="G107" s="273">
        <f t="shared" si="18"/>
        <v>31528.732642814863</v>
      </c>
      <c r="H107" s="273"/>
      <c r="I107" s="275">
        <f t="shared" si="14"/>
        <v>118127.62597614819</v>
      </c>
      <c r="J107" s="271">
        <f t="shared" si="19"/>
        <v>31</v>
      </c>
    </row>
    <row r="108" spans="1:12" s="271" customFormat="1">
      <c r="A108" s="271">
        <f t="shared" si="17"/>
        <v>89</v>
      </c>
      <c r="B108" s="272">
        <f t="shared" si="15"/>
        <v>47058</v>
      </c>
      <c r="C108" s="272">
        <f t="shared" si="20"/>
        <v>47088</v>
      </c>
      <c r="D108" s="355"/>
      <c r="E108" s="274">
        <f t="shared" si="16"/>
        <v>86598.893333333326</v>
      </c>
      <c r="F108" s="274">
        <f t="shared" si="21"/>
        <v>4762939.1333333403</v>
      </c>
      <c r="G108" s="273">
        <f t="shared" si="18"/>
        <v>29966.825380555601</v>
      </c>
      <c r="H108" s="273"/>
      <c r="I108" s="275">
        <f t="shared" si="14"/>
        <v>116565.71871388893</v>
      </c>
      <c r="J108" s="271">
        <f t="shared" si="19"/>
        <v>30</v>
      </c>
    </row>
    <row r="109" spans="1:12" s="281" customFormat="1">
      <c r="A109" s="281">
        <f t="shared" si="17"/>
        <v>90</v>
      </c>
      <c r="B109" s="282">
        <f t="shared" si="15"/>
        <v>47088</v>
      </c>
      <c r="C109" s="282">
        <f t="shared" si="20"/>
        <v>47119</v>
      </c>
      <c r="D109" s="354"/>
      <c r="E109" s="283">
        <f t="shared" si="16"/>
        <v>86598.893333333326</v>
      </c>
      <c r="F109" s="283">
        <f t="shared" si="21"/>
        <v>4676340.2400000067</v>
      </c>
      <c r="G109" s="285">
        <f t="shared" si="18"/>
        <v>30402.706477000043</v>
      </c>
      <c r="H109" s="285"/>
      <c r="I109" s="284">
        <f t="shared" si="14"/>
        <v>117001.59981033337</v>
      </c>
      <c r="J109" s="281">
        <f t="shared" si="19"/>
        <v>31</v>
      </c>
      <c r="K109" s="286">
        <f>SUM(E98:E109)</f>
        <v>1039186.7199999999</v>
      </c>
      <c r="L109" s="286">
        <f>SUM(G98:G109)</f>
        <v>395416.8013245191</v>
      </c>
    </row>
    <row r="110" spans="1:12" s="271" customFormat="1">
      <c r="A110" s="271">
        <f t="shared" si="17"/>
        <v>91</v>
      </c>
      <c r="B110" s="272">
        <f t="shared" si="15"/>
        <v>47119</v>
      </c>
      <c r="C110" s="272">
        <f t="shared" si="20"/>
        <v>47150</v>
      </c>
      <c r="D110" s="355"/>
      <c r="E110" s="274">
        <f t="shared" si="16"/>
        <v>86598.893333333326</v>
      </c>
      <c r="F110" s="274">
        <f t="shared" si="21"/>
        <v>4589741.3466666732</v>
      </c>
      <c r="G110" s="273">
        <f t="shared" si="18"/>
        <v>29839.693394092636</v>
      </c>
      <c r="H110" s="273"/>
      <c r="I110" s="275">
        <f t="shared" si="14"/>
        <v>116438.58672742597</v>
      </c>
      <c r="J110" s="271">
        <f t="shared" si="19"/>
        <v>31</v>
      </c>
    </row>
    <row r="111" spans="1:12" s="271" customFormat="1">
      <c r="A111" s="271">
        <f t="shared" si="17"/>
        <v>92</v>
      </c>
      <c r="B111" s="272">
        <f t="shared" si="15"/>
        <v>47150</v>
      </c>
      <c r="C111" s="272">
        <f t="shared" si="20"/>
        <v>47178</v>
      </c>
      <c r="D111" s="355"/>
      <c r="E111" s="274">
        <f t="shared" si="16"/>
        <v>86598.893333333326</v>
      </c>
      <c r="F111" s="274">
        <f t="shared" si="21"/>
        <v>4503142.4533333397</v>
      </c>
      <c r="G111" s="273">
        <f t="shared" si="18"/>
        <v>26443.45318429633</v>
      </c>
      <c r="H111" s="273"/>
      <c r="I111" s="275">
        <f t="shared" si="14"/>
        <v>113042.34651762966</v>
      </c>
      <c r="J111" s="271">
        <f t="shared" si="19"/>
        <v>28</v>
      </c>
    </row>
    <row r="112" spans="1:12" s="271" customFormat="1">
      <c r="A112" s="271">
        <f t="shared" si="17"/>
        <v>93</v>
      </c>
      <c r="B112" s="272">
        <f t="shared" si="15"/>
        <v>47178</v>
      </c>
      <c r="C112" s="272">
        <f t="shared" si="20"/>
        <v>47209</v>
      </c>
      <c r="D112" s="355"/>
      <c r="E112" s="274">
        <f t="shared" si="16"/>
        <v>86598.893333333326</v>
      </c>
      <c r="F112" s="274">
        <f t="shared" si="21"/>
        <v>4416543.5600000061</v>
      </c>
      <c r="G112" s="273">
        <f t="shared" si="18"/>
        <v>28713.66722827782</v>
      </c>
      <c r="H112" s="273"/>
      <c r="I112" s="275">
        <f t="shared" si="14"/>
        <v>115312.56056161114</v>
      </c>
      <c r="J112" s="271">
        <f t="shared" si="19"/>
        <v>31</v>
      </c>
    </row>
    <row r="113" spans="1:12" s="271" customFormat="1">
      <c r="A113" s="271">
        <f t="shared" si="17"/>
        <v>94</v>
      </c>
      <c r="B113" s="272">
        <f t="shared" si="15"/>
        <v>47209</v>
      </c>
      <c r="C113" s="272">
        <f t="shared" si="20"/>
        <v>47239</v>
      </c>
      <c r="D113" s="355"/>
      <c r="E113" s="274">
        <f t="shared" si="16"/>
        <v>86598.893333333326</v>
      </c>
      <c r="F113" s="274">
        <f t="shared" si="21"/>
        <v>4329944.6666666726</v>
      </c>
      <c r="G113" s="273">
        <f t="shared" si="18"/>
        <v>27242.568527777818</v>
      </c>
      <c r="H113" s="273"/>
      <c r="I113" s="275">
        <f t="shared" si="14"/>
        <v>113841.46186111114</v>
      </c>
      <c r="J113" s="271">
        <f t="shared" si="19"/>
        <v>30</v>
      </c>
    </row>
    <row r="114" spans="1:12" s="271" customFormat="1">
      <c r="A114" s="271">
        <f t="shared" si="17"/>
        <v>95</v>
      </c>
      <c r="B114" s="272">
        <f t="shared" si="15"/>
        <v>47239</v>
      </c>
      <c r="C114" s="272">
        <f t="shared" si="20"/>
        <v>47270</v>
      </c>
      <c r="D114" s="355"/>
      <c r="E114" s="274">
        <f t="shared" si="16"/>
        <v>86598.893333333326</v>
      </c>
      <c r="F114" s="274">
        <f t="shared" si="21"/>
        <v>4243345.773333339</v>
      </c>
      <c r="G114" s="273">
        <f t="shared" si="18"/>
        <v>27587.641062463001</v>
      </c>
      <c r="H114" s="273"/>
      <c r="I114" s="275">
        <f t="shared" si="14"/>
        <v>114186.53439579633</v>
      </c>
      <c r="J114" s="271">
        <f t="shared" si="19"/>
        <v>31</v>
      </c>
    </row>
    <row r="115" spans="1:12" s="271" customFormat="1">
      <c r="A115" s="271">
        <f t="shared" si="17"/>
        <v>96</v>
      </c>
      <c r="B115" s="272">
        <f t="shared" si="15"/>
        <v>47270</v>
      </c>
      <c r="C115" s="272">
        <f t="shared" si="20"/>
        <v>47300</v>
      </c>
      <c r="D115" s="355"/>
      <c r="E115" s="274">
        <f t="shared" si="16"/>
        <v>86598.893333333326</v>
      </c>
      <c r="F115" s="274">
        <f t="shared" si="21"/>
        <v>4156746.8800000055</v>
      </c>
      <c r="G115" s="273">
        <f t="shared" si="18"/>
        <v>26152.865786666702</v>
      </c>
      <c r="H115" s="273"/>
      <c r="I115" s="275">
        <f t="shared" si="14"/>
        <v>112751.75912000003</v>
      </c>
      <c r="J115" s="271">
        <f t="shared" si="19"/>
        <v>30</v>
      </c>
    </row>
    <row r="116" spans="1:12" s="271" customFormat="1">
      <c r="A116" s="271">
        <f t="shared" si="17"/>
        <v>97</v>
      </c>
      <c r="B116" s="272">
        <f t="shared" si="15"/>
        <v>47300</v>
      </c>
      <c r="C116" s="272">
        <f t="shared" si="20"/>
        <v>47331</v>
      </c>
      <c r="D116" s="355"/>
      <c r="E116" s="274">
        <f t="shared" si="16"/>
        <v>86598.893333333326</v>
      </c>
      <c r="F116" s="274">
        <f t="shared" si="21"/>
        <v>4070147.9866666719</v>
      </c>
      <c r="G116" s="273">
        <f t="shared" si="18"/>
        <v>26461.614896648181</v>
      </c>
      <c r="H116" s="273"/>
      <c r="I116" s="275">
        <f t="shared" si="14"/>
        <v>113060.50822998151</v>
      </c>
      <c r="J116" s="271">
        <f t="shared" si="19"/>
        <v>31</v>
      </c>
    </row>
    <row r="117" spans="1:12" s="271" customFormat="1">
      <c r="A117" s="271">
        <f t="shared" si="17"/>
        <v>98</v>
      </c>
      <c r="B117" s="272">
        <f t="shared" si="15"/>
        <v>47331</v>
      </c>
      <c r="C117" s="272">
        <f t="shared" si="20"/>
        <v>47362</v>
      </c>
      <c r="D117" s="355"/>
      <c r="E117" s="274">
        <f t="shared" si="16"/>
        <v>86598.893333333326</v>
      </c>
      <c r="F117" s="274">
        <f t="shared" si="21"/>
        <v>3983549.0933333384</v>
      </c>
      <c r="G117" s="273">
        <f t="shared" si="18"/>
        <v>25898.601813740774</v>
      </c>
      <c r="H117" s="273"/>
      <c r="I117" s="275">
        <f t="shared" si="14"/>
        <v>112497.49514707411</v>
      </c>
      <c r="J117" s="271">
        <f t="shared" si="19"/>
        <v>31</v>
      </c>
    </row>
    <row r="118" spans="1:12" s="271" customFormat="1">
      <c r="A118" s="271">
        <f t="shared" si="17"/>
        <v>99</v>
      </c>
      <c r="B118" s="272">
        <f t="shared" si="15"/>
        <v>47362</v>
      </c>
      <c r="C118" s="272">
        <f t="shared" si="20"/>
        <v>47392</v>
      </c>
      <c r="D118" s="355"/>
      <c r="E118" s="274">
        <f t="shared" si="16"/>
        <v>86598.893333333326</v>
      </c>
      <c r="F118" s="274">
        <f t="shared" si="21"/>
        <v>3896950.2000000048</v>
      </c>
      <c r="G118" s="273">
        <f t="shared" si="18"/>
        <v>24518.31167500003</v>
      </c>
      <c r="H118" s="273"/>
      <c r="I118" s="275">
        <f t="shared" si="14"/>
        <v>111117.20500833336</v>
      </c>
      <c r="J118" s="271">
        <f t="shared" si="19"/>
        <v>30</v>
      </c>
    </row>
    <row r="119" spans="1:12" s="271" customFormat="1">
      <c r="A119" s="271">
        <f t="shared" si="17"/>
        <v>100</v>
      </c>
      <c r="B119" s="272">
        <f t="shared" si="15"/>
        <v>47392</v>
      </c>
      <c r="C119" s="272">
        <f t="shared" si="20"/>
        <v>47423</v>
      </c>
      <c r="D119" s="355"/>
      <c r="E119" s="274">
        <f t="shared" si="16"/>
        <v>86598.893333333326</v>
      </c>
      <c r="F119" s="274">
        <f t="shared" si="21"/>
        <v>3810351.3066666713</v>
      </c>
      <c r="G119" s="273">
        <f t="shared" si="18"/>
        <v>24772.575647925958</v>
      </c>
      <c r="H119" s="273"/>
      <c r="I119" s="275">
        <f t="shared" si="14"/>
        <v>111371.46898125928</v>
      </c>
      <c r="J119" s="271">
        <f t="shared" si="19"/>
        <v>31</v>
      </c>
    </row>
    <row r="120" spans="1:12" s="271" customFormat="1">
      <c r="A120" s="271">
        <f t="shared" si="17"/>
        <v>101</v>
      </c>
      <c r="B120" s="272">
        <f t="shared" si="15"/>
        <v>47423</v>
      </c>
      <c r="C120" s="272">
        <f t="shared" si="20"/>
        <v>47453</v>
      </c>
      <c r="D120" s="355"/>
      <c r="E120" s="274">
        <f t="shared" si="16"/>
        <v>86598.893333333326</v>
      </c>
      <c r="F120" s="274">
        <f t="shared" si="21"/>
        <v>3723752.4133333378</v>
      </c>
      <c r="G120" s="273">
        <f t="shared" si="18"/>
        <v>23428.608933888918</v>
      </c>
      <c r="H120" s="273"/>
      <c r="I120" s="275">
        <f t="shared" si="14"/>
        <v>110027.50226722224</v>
      </c>
      <c r="J120" s="271">
        <f t="shared" si="19"/>
        <v>30</v>
      </c>
    </row>
    <row r="121" spans="1:12" s="281" customFormat="1">
      <c r="A121" s="281">
        <f t="shared" si="17"/>
        <v>102</v>
      </c>
      <c r="B121" s="282">
        <f t="shared" si="15"/>
        <v>47453</v>
      </c>
      <c r="C121" s="282">
        <f t="shared" si="20"/>
        <v>47484</v>
      </c>
      <c r="D121" s="354"/>
      <c r="E121" s="283">
        <f t="shared" si="16"/>
        <v>86598.893333333326</v>
      </c>
      <c r="F121" s="283">
        <f t="shared" si="21"/>
        <v>3637153.5200000042</v>
      </c>
      <c r="G121" s="285">
        <f t="shared" si="18"/>
        <v>23646.549482111142</v>
      </c>
      <c r="H121" s="285"/>
      <c r="I121" s="284">
        <f t="shared" si="14"/>
        <v>110245.44281544446</v>
      </c>
      <c r="J121" s="281">
        <f t="shared" si="19"/>
        <v>31</v>
      </c>
      <c r="K121" s="286">
        <f>SUM(E110:E121)</f>
        <v>1039186.7199999999</v>
      </c>
      <c r="L121" s="286">
        <f>SUM(G110:G121)</f>
        <v>314706.15163288923</v>
      </c>
    </row>
    <row r="122" spans="1:12" s="271" customFormat="1">
      <c r="A122" s="271">
        <f t="shared" si="17"/>
        <v>103</v>
      </c>
      <c r="B122" s="272">
        <f t="shared" si="15"/>
        <v>47484</v>
      </c>
      <c r="C122" s="272">
        <f t="shared" si="20"/>
        <v>47515</v>
      </c>
      <c r="D122" s="355"/>
      <c r="E122" s="274">
        <f t="shared" si="16"/>
        <v>86598.893333333326</v>
      </c>
      <c r="F122" s="274">
        <f t="shared" si="21"/>
        <v>3550554.6266666707</v>
      </c>
      <c r="G122" s="273">
        <f t="shared" si="18"/>
        <v>23083.536399203731</v>
      </c>
      <c r="H122" s="273"/>
      <c r="I122" s="275">
        <f t="shared" si="14"/>
        <v>109682.42973253706</v>
      </c>
      <c r="J122" s="271">
        <f t="shared" si="19"/>
        <v>31</v>
      </c>
    </row>
    <row r="123" spans="1:12" s="271" customFormat="1">
      <c r="A123" s="271">
        <f t="shared" si="17"/>
        <v>104</v>
      </c>
      <c r="B123" s="272">
        <f t="shared" si="15"/>
        <v>47515</v>
      </c>
      <c r="C123" s="272">
        <f t="shared" si="20"/>
        <v>47543</v>
      </c>
      <c r="D123" s="355"/>
      <c r="E123" s="274">
        <f t="shared" si="16"/>
        <v>86598.893333333326</v>
      </c>
      <c r="F123" s="274">
        <f t="shared" si="21"/>
        <v>3463955.7333333371</v>
      </c>
      <c r="G123" s="273">
        <f t="shared" si="18"/>
        <v>20341.117834074095</v>
      </c>
      <c r="H123" s="273"/>
      <c r="I123" s="275">
        <f t="shared" si="14"/>
        <v>106940.01116740741</v>
      </c>
      <c r="J123" s="271">
        <f t="shared" si="19"/>
        <v>28</v>
      </c>
    </row>
    <row r="124" spans="1:12" s="271" customFormat="1">
      <c r="A124" s="271">
        <f t="shared" si="17"/>
        <v>105</v>
      </c>
      <c r="B124" s="272">
        <f t="shared" si="15"/>
        <v>47543</v>
      </c>
      <c r="C124" s="272">
        <f t="shared" si="20"/>
        <v>47574</v>
      </c>
      <c r="D124" s="355"/>
      <c r="E124" s="274">
        <f t="shared" si="16"/>
        <v>86598.893333333326</v>
      </c>
      <c r="F124" s="274">
        <f t="shared" si="21"/>
        <v>3377356.8400000036</v>
      </c>
      <c r="G124" s="273">
        <f t="shared" si="18"/>
        <v>21957.510233388915</v>
      </c>
      <c r="H124" s="273"/>
      <c r="I124" s="275">
        <f t="shared" si="14"/>
        <v>108556.40356672223</v>
      </c>
      <c r="J124" s="271">
        <f t="shared" si="19"/>
        <v>31</v>
      </c>
    </row>
    <row r="125" spans="1:12" s="271" customFormat="1">
      <c r="A125" s="271">
        <f t="shared" si="17"/>
        <v>106</v>
      </c>
      <c r="B125" s="272">
        <f t="shared" si="15"/>
        <v>47574</v>
      </c>
      <c r="C125" s="272">
        <f t="shared" si="20"/>
        <v>47604</v>
      </c>
      <c r="D125" s="355"/>
      <c r="E125" s="274">
        <f t="shared" si="16"/>
        <v>86598.893333333326</v>
      </c>
      <c r="F125" s="274">
        <f t="shared" si="21"/>
        <v>3290757.94666667</v>
      </c>
      <c r="G125" s="273">
        <f t="shared" si="18"/>
        <v>20704.352081111134</v>
      </c>
      <c r="H125" s="273"/>
      <c r="I125" s="275">
        <f t="shared" si="14"/>
        <v>107303.24541444446</v>
      </c>
      <c r="J125" s="271">
        <f t="shared" si="19"/>
        <v>30</v>
      </c>
    </row>
    <row r="126" spans="1:12" s="271" customFormat="1">
      <c r="A126" s="271">
        <f t="shared" si="17"/>
        <v>107</v>
      </c>
      <c r="B126" s="272">
        <f t="shared" si="15"/>
        <v>47604</v>
      </c>
      <c r="C126" s="272">
        <f t="shared" si="20"/>
        <v>47635</v>
      </c>
      <c r="D126" s="355"/>
      <c r="E126" s="274">
        <f t="shared" si="16"/>
        <v>86598.893333333326</v>
      </c>
      <c r="F126" s="274">
        <f t="shared" si="21"/>
        <v>3204159.0533333365</v>
      </c>
      <c r="G126" s="273">
        <f t="shared" si="18"/>
        <v>20831.484067574092</v>
      </c>
      <c r="H126" s="273"/>
      <c r="I126" s="275">
        <f t="shared" si="14"/>
        <v>107430.37740090743</v>
      </c>
      <c r="J126" s="271">
        <f t="shared" si="19"/>
        <v>31</v>
      </c>
    </row>
    <row r="127" spans="1:12" s="271" customFormat="1">
      <c r="A127" s="271">
        <f t="shared" si="17"/>
        <v>108</v>
      </c>
      <c r="B127" s="272">
        <f t="shared" si="15"/>
        <v>47635</v>
      </c>
      <c r="C127" s="272">
        <f t="shared" si="20"/>
        <v>47665</v>
      </c>
      <c r="D127" s="355"/>
      <c r="E127" s="274">
        <f t="shared" si="16"/>
        <v>86598.893333333326</v>
      </c>
      <c r="F127" s="274">
        <f t="shared" si="21"/>
        <v>3117560.1600000029</v>
      </c>
      <c r="G127" s="273">
        <f t="shared" si="18"/>
        <v>19614.649340000018</v>
      </c>
      <c r="H127" s="273"/>
      <c r="I127" s="275">
        <f t="shared" si="14"/>
        <v>106213.54267333334</v>
      </c>
      <c r="J127" s="271">
        <f t="shared" si="19"/>
        <v>30</v>
      </c>
    </row>
    <row r="128" spans="1:12" s="271" customFormat="1">
      <c r="A128" s="271">
        <f t="shared" si="17"/>
        <v>109</v>
      </c>
      <c r="B128" s="272">
        <f t="shared" si="15"/>
        <v>47665</v>
      </c>
      <c r="C128" s="272">
        <f t="shared" si="20"/>
        <v>47696</v>
      </c>
      <c r="D128" s="355"/>
      <c r="E128" s="274">
        <f t="shared" si="16"/>
        <v>86598.893333333326</v>
      </c>
      <c r="F128" s="274">
        <f t="shared" si="21"/>
        <v>3030961.2666666694</v>
      </c>
      <c r="G128" s="273">
        <f t="shared" si="18"/>
        <v>19705.457901759277</v>
      </c>
      <c r="H128" s="273"/>
      <c r="I128" s="275">
        <f t="shared" si="14"/>
        <v>106304.3512350926</v>
      </c>
      <c r="J128" s="271">
        <f t="shared" si="19"/>
        <v>31</v>
      </c>
    </row>
    <row r="129" spans="1:12" s="271" customFormat="1">
      <c r="A129" s="271">
        <f t="shared" si="17"/>
        <v>110</v>
      </c>
      <c r="B129" s="272">
        <f t="shared" si="15"/>
        <v>47696</v>
      </c>
      <c r="C129" s="272">
        <f t="shared" si="20"/>
        <v>47727</v>
      </c>
      <c r="D129" s="355"/>
      <c r="E129" s="274">
        <f t="shared" si="16"/>
        <v>86598.893333333326</v>
      </c>
      <c r="F129" s="274">
        <f t="shared" si="21"/>
        <v>2944362.3733333359</v>
      </c>
      <c r="G129" s="273">
        <f t="shared" si="18"/>
        <v>19142.444818851869</v>
      </c>
      <c r="H129" s="273"/>
      <c r="I129" s="275">
        <f t="shared" si="14"/>
        <v>105741.3381521852</v>
      </c>
      <c r="J129" s="271">
        <f t="shared" si="19"/>
        <v>31</v>
      </c>
    </row>
    <row r="130" spans="1:12" s="271" customFormat="1">
      <c r="A130" s="271">
        <f t="shared" si="17"/>
        <v>111</v>
      </c>
      <c r="B130" s="272">
        <f t="shared" si="15"/>
        <v>47727</v>
      </c>
      <c r="C130" s="272">
        <f t="shared" si="20"/>
        <v>47757</v>
      </c>
      <c r="D130" s="355"/>
      <c r="E130" s="274">
        <f t="shared" si="16"/>
        <v>86598.893333333326</v>
      </c>
      <c r="F130" s="274">
        <f t="shared" si="21"/>
        <v>2857763.4800000023</v>
      </c>
      <c r="G130" s="273">
        <f t="shared" si="18"/>
        <v>17980.09522833335</v>
      </c>
      <c r="H130" s="273"/>
      <c r="I130" s="275">
        <f t="shared" si="14"/>
        <v>104578.98856166667</v>
      </c>
      <c r="J130" s="271">
        <f t="shared" si="19"/>
        <v>30</v>
      </c>
    </row>
    <row r="131" spans="1:12" s="271" customFormat="1">
      <c r="A131" s="271">
        <f t="shared" si="17"/>
        <v>112</v>
      </c>
      <c r="B131" s="272">
        <f t="shared" si="15"/>
        <v>47757</v>
      </c>
      <c r="C131" s="272">
        <f t="shared" si="20"/>
        <v>47788</v>
      </c>
      <c r="D131" s="355"/>
      <c r="E131" s="274">
        <f t="shared" si="16"/>
        <v>86598.893333333326</v>
      </c>
      <c r="F131" s="274">
        <f t="shared" si="21"/>
        <v>2771164.5866666688</v>
      </c>
      <c r="G131" s="273">
        <f t="shared" si="18"/>
        <v>18016.41865303705</v>
      </c>
      <c r="H131" s="273"/>
      <c r="I131" s="275">
        <f t="shared" si="14"/>
        <v>104615.31198637038</v>
      </c>
      <c r="J131" s="271">
        <f t="shared" si="19"/>
        <v>31</v>
      </c>
    </row>
    <row r="132" spans="1:12" s="271" customFormat="1">
      <c r="A132" s="271">
        <f t="shared" si="17"/>
        <v>113</v>
      </c>
      <c r="B132" s="272">
        <f t="shared" si="15"/>
        <v>47788</v>
      </c>
      <c r="C132" s="272">
        <f t="shared" si="20"/>
        <v>47818</v>
      </c>
      <c r="D132" s="355"/>
      <c r="E132" s="274">
        <f t="shared" si="16"/>
        <v>86598.893333333326</v>
      </c>
      <c r="F132" s="274">
        <f t="shared" si="21"/>
        <v>2684565.6933333352</v>
      </c>
      <c r="G132" s="273">
        <f t="shared" si="18"/>
        <v>16890.392487222234</v>
      </c>
      <c r="H132" s="273"/>
      <c r="I132" s="275">
        <f t="shared" si="14"/>
        <v>103489.28582055555</v>
      </c>
      <c r="J132" s="271">
        <f t="shared" si="19"/>
        <v>30</v>
      </c>
    </row>
    <row r="133" spans="1:12" s="281" customFormat="1">
      <c r="A133" s="281">
        <f t="shared" si="17"/>
        <v>114</v>
      </c>
      <c r="B133" s="282">
        <f t="shared" si="15"/>
        <v>47818</v>
      </c>
      <c r="C133" s="282">
        <f t="shared" si="20"/>
        <v>47849</v>
      </c>
      <c r="D133" s="354"/>
      <c r="E133" s="283">
        <f t="shared" si="16"/>
        <v>86598.893333333326</v>
      </c>
      <c r="F133" s="283">
        <f t="shared" si="21"/>
        <v>2597966.8000000017</v>
      </c>
      <c r="G133" s="285">
        <f t="shared" si="18"/>
        <v>16890.392487222234</v>
      </c>
      <c r="H133" s="285"/>
      <c r="I133" s="284">
        <f t="shared" si="14"/>
        <v>103489.28582055555</v>
      </c>
      <c r="J133" s="281">
        <f t="shared" si="19"/>
        <v>31</v>
      </c>
      <c r="K133" s="286">
        <f>SUM(E122:E133)</f>
        <v>1039186.7199999999</v>
      </c>
      <c r="L133" s="286">
        <f>SUM(G122:G133)</f>
        <v>235157.851531778</v>
      </c>
    </row>
    <row r="134" spans="1:12" s="271" customFormat="1">
      <c r="A134" s="271">
        <f t="shared" si="17"/>
        <v>115</v>
      </c>
      <c r="B134" s="272">
        <f t="shared" si="15"/>
        <v>47849</v>
      </c>
      <c r="C134" s="272">
        <f t="shared" si="20"/>
        <v>47880</v>
      </c>
      <c r="D134" s="355"/>
      <c r="E134" s="274">
        <f t="shared" si="16"/>
        <v>86598.893333333326</v>
      </c>
      <c r="F134" s="274">
        <f t="shared" si="21"/>
        <v>2511367.9066666681</v>
      </c>
      <c r="G134" s="273">
        <f t="shared" si="18"/>
        <v>16327.379404314825</v>
      </c>
      <c r="H134" s="273"/>
      <c r="I134" s="275">
        <f t="shared" si="14"/>
        <v>102926.27273764815</v>
      </c>
      <c r="J134" s="271">
        <f t="shared" si="19"/>
        <v>31</v>
      </c>
    </row>
    <row r="135" spans="1:12" s="271" customFormat="1">
      <c r="A135" s="271">
        <f t="shared" si="17"/>
        <v>116</v>
      </c>
      <c r="B135" s="272">
        <f t="shared" si="15"/>
        <v>47880</v>
      </c>
      <c r="C135" s="272">
        <f t="shared" si="20"/>
        <v>47908</v>
      </c>
      <c r="D135" s="355"/>
      <c r="E135" s="274">
        <f t="shared" si="16"/>
        <v>86598.893333333326</v>
      </c>
      <c r="F135" s="274">
        <f t="shared" si="21"/>
        <v>2424769.0133333346</v>
      </c>
      <c r="G135" s="273">
        <f t="shared" si="18"/>
        <v>14238.782483851857</v>
      </c>
      <c r="H135" s="273"/>
      <c r="I135" s="275">
        <f t="shared" si="14"/>
        <v>100837.67581718518</v>
      </c>
      <c r="J135" s="271">
        <f t="shared" si="19"/>
        <v>28</v>
      </c>
    </row>
    <row r="136" spans="1:12" s="271" customFormat="1">
      <c r="A136" s="271">
        <f t="shared" si="17"/>
        <v>117</v>
      </c>
      <c r="B136" s="272">
        <f t="shared" si="15"/>
        <v>47908</v>
      </c>
      <c r="C136" s="272">
        <f t="shared" si="20"/>
        <v>47939</v>
      </c>
      <c r="D136" s="355"/>
      <c r="E136" s="274">
        <f t="shared" si="16"/>
        <v>86598.893333333326</v>
      </c>
      <c r="F136" s="274">
        <f t="shared" si="21"/>
        <v>2338170.120000001</v>
      </c>
      <c r="G136" s="273">
        <f t="shared" si="18"/>
        <v>15201.353238500007</v>
      </c>
      <c r="H136" s="273"/>
      <c r="I136" s="275">
        <f t="shared" si="14"/>
        <v>101800.24657183333</v>
      </c>
      <c r="J136" s="271">
        <f t="shared" si="19"/>
        <v>31</v>
      </c>
    </row>
    <row r="137" spans="1:12" s="271" customFormat="1">
      <c r="A137" s="271">
        <f t="shared" si="17"/>
        <v>118</v>
      </c>
      <c r="B137" s="272">
        <f t="shared" si="15"/>
        <v>47939</v>
      </c>
      <c r="C137" s="272">
        <f t="shared" si="20"/>
        <v>47969</v>
      </c>
      <c r="D137" s="355"/>
      <c r="E137" s="274">
        <f t="shared" si="16"/>
        <v>86598.893333333326</v>
      </c>
      <c r="F137" s="274">
        <f t="shared" si="21"/>
        <v>2251571.2266666675</v>
      </c>
      <c r="G137" s="273">
        <f t="shared" si="18"/>
        <v>14166.13563444445</v>
      </c>
      <c r="H137" s="273"/>
      <c r="I137" s="275">
        <f t="shared" si="14"/>
        <v>100765.02896777778</v>
      </c>
      <c r="J137" s="271">
        <f t="shared" si="19"/>
        <v>30</v>
      </c>
    </row>
    <row r="138" spans="1:12" s="271" customFormat="1">
      <c r="A138" s="271">
        <f t="shared" si="17"/>
        <v>119</v>
      </c>
      <c r="B138" s="272">
        <f t="shared" si="15"/>
        <v>47969</v>
      </c>
      <c r="C138" s="272">
        <f t="shared" si="20"/>
        <v>48000</v>
      </c>
      <c r="D138" s="355"/>
      <c r="E138" s="274">
        <f t="shared" si="16"/>
        <v>86598.893333333326</v>
      </c>
      <c r="F138" s="274">
        <f t="shared" si="21"/>
        <v>2164972.333333334</v>
      </c>
      <c r="G138" s="273">
        <f t="shared" si="18"/>
        <v>14075.327072685188</v>
      </c>
      <c r="H138" s="273"/>
      <c r="I138" s="275">
        <f t="shared" si="14"/>
        <v>100674.22040601852</v>
      </c>
      <c r="J138" s="271">
        <f t="shared" si="19"/>
        <v>31</v>
      </c>
    </row>
    <row r="139" spans="1:12" s="271" customFormat="1">
      <c r="A139" s="271">
        <f t="shared" si="17"/>
        <v>120</v>
      </c>
      <c r="B139" s="272">
        <f t="shared" si="15"/>
        <v>48000</v>
      </c>
      <c r="C139" s="272">
        <f t="shared" si="20"/>
        <v>48030</v>
      </c>
      <c r="D139" s="355"/>
      <c r="E139" s="274">
        <f t="shared" si="16"/>
        <v>86598.893333333326</v>
      </c>
      <c r="F139" s="274">
        <f t="shared" si="21"/>
        <v>2078373.4400000006</v>
      </c>
      <c r="G139" s="273">
        <f t="shared" si="18"/>
        <v>13076.432893333338</v>
      </c>
      <c r="H139" s="273"/>
      <c r="I139" s="275">
        <f t="shared" si="14"/>
        <v>99675.326226666657</v>
      </c>
      <c r="J139" s="271">
        <f t="shared" si="19"/>
        <v>30</v>
      </c>
    </row>
    <row r="140" spans="1:12" s="271" customFormat="1">
      <c r="A140" s="271">
        <f t="shared" si="17"/>
        <v>121</v>
      </c>
      <c r="B140" s="272">
        <f t="shared" si="15"/>
        <v>48030</v>
      </c>
      <c r="C140" s="272">
        <f t="shared" si="20"/>
        <v>48061</v>
      </c>
      <c r="D140" s="355"/>
      <c r="E140" s="274">
        <f t="shared" si="16"/>
        <v>86598.893333333326</v>
      </c>
      <c r="F140" s="274">
        <f t="shared" si="21"/>
        <v>1991774.5466666673</v>
      </c>
      <c r="G140" s="273">
        <f t="shared" si="18"/>
        <v>12949.300906870374</v>
      </c>
      <c r="H140" s="273"/>
      <c r="I140" s="275">
        <f t="shared" si="14"/>
        <v>99548.194240203695</v>
      </c>
      <c r="J140" s="271">
        <f t="shared" si="19"/>
        <v>31</v>
      </c>
    </row>
    <row r="141" spans="1:12" s="271" customFormat="1">
      <c r="A141" s="271">
        <f t="shared" si="17"/>
        <v>122</v>
      </c>
      <c r="B141" s="272">
        <f t="shared" si="15"/>
        <v>48061</v>
      </c>
      <c r="C141" s="272">
        <f t="shared" si="20"/>
        <v>48092</v>
      </c>
      <c r="D141" s="355"/>
      <c r="E141" s="274">
        <f t="shared" si="16"/>
        <v>86598.893333333326</v>
      </c>
      <c r="F141" s="274">
        <f t="shared" si="21"/>
        <v>1905175.653333334</v>
      </c>
      <c r="G141" s="273">
        <f t="shared" si="18"/>
        <v>12386.287823962968</v>
      </c>
      <c r="H141" s="273"/>
      <c r="I141" s="275">
        <f t="shared" si="14"/>
        <v>98985.181157296291</v>
      </c>
      <c r="J141" s="271">
        <f t="shared" si="19"/>
        <v>31</v>
      </c>
    </row>
    <row r="142" spans="1:12" s="271" customFormat="1">
      <c r="A142" s="271">
        <f t="shared" si="17"/>
        <v>123</v>
      </c>
      <c r="B142" s="272">
        <f t="shared" si="15"/>
        <v>48092</v>
      </c>
      <c r="C142" s="272">
        <f t="shared" si="20"/>
        <v>48122</v>
      </c>
      <c r="D142" s="355"/>
      <c r="E142" s="274">
        <f t="shared" si="16"/>
        <v>86598.893333333326</v>
      </c>
      <c r="F142" s="274">
        <f t="shared" si="21"/>
        <v>1818576.7600000007</v>
      </c>
      <c r="G142" s="273">
        <f t="shared" si="18"/>
        <v>11441.878781666672</v>
      </c>
      <c r="H142" s="273"/>
      <c r="I142" s="275">
        <f t="shared" si="14"/>
        <v>98040.772115</v>
      </c>
      <c r="J142" s="271">
        <f t="shared" si="19"/>
        <v>30</v>
      </c>
    </row>
    <row r="143" spans="1:12" s="271" customFormat="1">
      <c r="A143" s="271">
        <f t="shared" si="17"/>
        <v>124</v>
      </c>
      <c r="B143" s="272">
        <f t="shared" si="15"/>
        <v>48122</v>
      </c>
      <c r="C143" s="272">
        <f t="shared" si="20"/>
        <v>48153</v>
      </c>
      <c r="D143" s="355"/>
      <c r="E143" s="274">
        <f t="shared" si="16"/>
        <v>86598.893333333326</v>
      </c>
      <c r="F143" s="274">
        <f t="shared" si="21"/>
        <v>1731977.8666666674</v>
      </c>
      <c r="G143" s="273">
        <f t="shared" si="18"/>
        <v>11260.261658148152</v>
      </c>
      <c r="H143" s="273"/>
      <c r="I143" s="275">
        <f t="shared" si="14"/>
        <v>97859.154991481482</v>
      </c>
      <c r="J143" s="271">
        <f t="shared" si="19"/>
        <v>31</v>
      </c>
    </row>
    <row r="144" spans="1:12" s="271" customFormat="1">
      <c r="A144" s="271">
        <f t="shared" si="17"/>
        <v>125</v>
      </c>
      <c r="B144" s="272">
        <f t="shared" si="15"/>
        <v>48153</v>
      </c>
      <c r="C144" s="272">
        <f t="shared" si="20"/>
        <v>48183</v>
      </c>
      <c r="D144" s="355"/>
      <c r="E144" s="274">
        <f t="shared" si="16"/>
        <v>86598.893333333326</v>
      </c>
      <c r="F144" s="274">
        <f t="shared" si="21"/>
        <v>1645378.9733333341</v>
      </c>
      <c r="G144" s="273">
        <f t="shared" si="18"/>
        <v>10352.176040555561</v>
      </c>
      <c r="H144" s="273"/>
      <c r="I144" s="275">
        <f t="shared" si="14"/>
        <v>96951.069373888895</v>
      </c>
      <c r="J144" s="271">
        <f t="shared" si="19"/>
        <v>30</v>
      </c>
    </row>
    <row r="145" spans="1:12" s="281" customFormat="1">
      <c r="A145" s="281">
        <f t="shared" si="17"/>
        <v>126</v>
      </c>
      <c r="B145" s="282">
        <f t="shared" si="15"/>
        <v>48183</v>
      </c>
      <c r="C145" s="282">
        <f t="shared" si="20"/>
        <v>48214</v>
      </c>
      <c r="D145" s="354"/>
      <c r="E145" s="283">
        <f t="shared" si="16"/>
        <v>86598.893333333326</v>
      </c>
      <c r="F145" s="283">
        <f t="shared" si="21"/>
        <v>1558780.0800000008</v>
      </c>
      <c r="G145" s="285">
        <f t="shared" si="18"/>
        <v>10134.235492333339</v>
      </c>
      <c r="H145" s="285"/>
      <c r="I145" s="284">
        <f t="shared" ref="I145:I161" si="22">E145+G145</f>
        <v>96733.128825666659</v>
      </c>
      <c r="J145" s="281">
        <f t="shared" si="19"/>
        <v>31</v>
      </c>
      <c r="K145" s="286">
        <f>SUM(E134:E145)</f>
        <v>1039186.7199999999</v>
      </c>
      <c r="L145" s="286">
        <f>SUM(G134:G145)</f>
        <v>155609.5514306667</v>
      </c>
    </row>
    <row r="146" spans="1:12" s="271" customFormat="1">
      <c r="A146" s="271">
        <f t="shared" si="17"/>
        <v>127</v>
      </c>
      <c r="B146" s="272">
        <f t="shared" si="15"/>
        <v>48214</v>
      </c>
      <c r="C146" s="272">
        <f t="shared" si="20"/>
        <v>48245</v>
      </c>
      <c r="D146" s="355"/>
      <c r="E146" s="274">
        <f t="shared" si="16"/>
        <v>86598.893333333326</v>
      </c>
      <c r="F146" s="274">
        <f t="shared" si="21"/>
        <v>1472181.1866666675</v>
      </c>
      <c r="G146" s="273">
        <f t="shared" si="18"/>
        <v>9571.2224094259309</v>
      </c>
      <c r="H146" s="273"/>
      <c r="I146" s="275">
        <f t="shared" si="22"/>
        <v>96170.115742759255</v>
      </c>
      <c r="J146" s="271">
        <f t="shared" si="19"/>
        <v>31</v>
      </c>
    </row>
    <row r="147" spans="1:12" s="271" customFormat="1">
      <c r="A147" s="271">
        <f t="shared" si="17"/>
        <v>128</v>
      </c>
      <c r="B147" s="272">
        <f t="shared" si="15"/>
        <v>48245</v>
      </c>
      <c r="C147" s="272">
        <f t="shared" si="20"/>
        <v>48274</v>
      </c>
      <c r="D147" s="355"/>
      <c r="E147" s="274">
        <f t="shared" si="16"/>
        <v>86598.893333333326</v>
      </c>
      <c r="F147" s="274">
        <f t="shared" si="21"/>
        <v>1385582.2933333341</v>
      </c>
      <c r="G147" s="273">
        <f t="shared" si="18"/>
        <v>8427.0345312592635</v>
      </c>
      <c r="H147" s="273"/>
      <c r="I147" s="275">
        <f t="shared" si="22"/>
        <v>95025.927864592595</v>
      </c>
      <c r="J147" s="271">
        <f t="shared" si="19"/>
        <v>29</v>
      </c>
    </row>
    <row r="148" spans="1:12" s="271" customFormat="1">
      <c r="A148" s="271">
        <f>A147+1</f>
        <v>129</v>
      </c>
      <c r="B148" s="272">
        <f t="shared" si="15"/>
        <v>48274</v>
      </c>
      <c r="C148" s="272">
        <f t="shared" si="20"/>
        <v>48305</v>
      </c>
      <c r="D148" s="355"/>
      <c r="E148" s="274">
        <f t="shared" si="16"/>
        <v>86598.893333333326</v>
      </c>
      <c r="F148" s="274">
        <f t="shared" si="21"/>
        <v>1298983.4000000008</v>
      </c>
      <c r="G148" s="273">
        <f t="shared" si="18"/>
        <v>8445.1962436111171</v>
      </c>
      <c r="H148" s="273"/>
      <c r="I148" s="275">
        <f t="shared" si="22"/>
        <v>95044.089576944447</v>
      </c>
      <c r="J148" s="271">
        <f t="shared" si="19"/>
        <v>31</v>
      </c>
    </row>
    <row r="149" spans="1:12" s="271" customFormat="1">
      <c r="A149" s="271">
        <f t="shared" ref="A149:A157" si="23">A148+1</f>
        <v>130</v>
      </c>
      <c r="B149" s="272">
        <f t="shared" ref="B149:B163" si="24">EOMONTH(B148,0)+1</f>
        <v>48305</v>
      </c>
      <c r="C149" s="272">
        <f t="shared" si="20"/>
        <v>48335</v>
      </c>
      <c r="D149" s="355"/>
      <c r="E149" s="274">
        <f t="shared" ref="E149:E163" si="25">E148</f>
        <v>86598.893333333326</v>
      </c>
      <c r="F149" s="274">
        <f t="shared" si="21"/>
        <v>1212384.5066666675</v>
      </c>
      <c r="G149" s="273">
        <f t="shared" si="18"/>
        <v>7627.919187777783</v>
      </c>
      <c r="H149" s="273"/>
      <c r="I149" s="275">
        <f t="shared" si="22"/>
        <v>94226.812521111104</v>
      </c>
      <c r="J149" s="271">
        <f t="shared" si="19"/>
        <v>30</v>
      </c>
    </row>
    <row r="150" spans="1:12" s="271" customFormat="1">
      <c r="A150" s="271">
        <f t="shared" si="23"/>
        <v>131</v>
      </c>
      <c r="B150" s="272">
        <f t="shared" si="24"/>
        <v>48335</v>
      </c>
      <c r="C150" s="272">
        <f t="shared" si="20"/>
        <v>48366</v>
      </c>
      <c r="D150" s="355"/>
      <c r="E150" s="274">
        <f t="shared" si="25"/>
        <v>86598.893333333326</v>
      </c>
      <c r="F150" s="274">
        <f t="shared" si="21"/>
        <v>1125785.6133333342</v>
      </c>
      <c r="G150" s="273">
        <f t="shared" si="18"/>
        <v>7319.1700777963024</v>
      </c>
      <c r="H150" s="273"/>
      <c r="I150" s="275">
        <f t="shared" si="22"/>
        <v>93918.063411129624</v>
      </c>
      <c r="J150" s="271">
        <f t="shared" si="19"/>
        <v>31</v>
      </c>
    </row>
    <row r="151" spans="1:12" s="271" customFormat="1">
      <c r="A151" s="271">
        <f t="shared" si="23"/>
        <v>132</v>
      </c>
      <c r="B151" s="272">
        <f t="shared" si="24"/>
        <v>48366</v>
      </c>
      <c r="C151" s="272">
        <f t="shared" si="20"/>
        <v>48396</v>
      </c>
      <c r="D151" s="355"/>
      <c r="E151" s="274">
        <f t="shared" si="25"/>
        <v>86598.893333333326</v>
      </c>
      <c r="F151" s="274">
        <f t="shared" si="21"/>
        <v>1039186.7200000009</v>
      </c>
      <c r="G151" s="273">
        <f t="shared" si="18"/>
        <v>6538.2164466666727</v>
      </c>
      <c r="H151" s="273"/>
      <c r="I151" s="275">
        <f t="shared" si="22"/>
        <v>93137.109779999999</v>
      </c>
      <c r="J151" s="271">
        <f t="shared" si="19"/>
        <v>30</v>
      </c>
    </row>
    <row r="152" spans="1:12" s="271" customFormat="1">
      <c r="A152" s="271">
        <f t="shared" si="23"/>
        <v>133</v>
      </c>
      <c r="B152" s="272">
        <f t="shared" si="24"/>
        <v>48396</v>
      </c>
      <c r="C152" s="272">
        <f t="shared" si="20"/>
        <v>48427</v>
      </c>
      <c r="D152" s="355"/>
      <c r="E152" s="274">
        <f t="shared" si="25"/>
        <v>86598.893333333326</v>
      </c>
      <c r="F152" s="274">
        <f t="shared" si="21"/>
        <v>952587.82666666759</v>
      </c>
      <c r="G152" s="273">
        <f t="shared" ref="G152:G163" si="26">J152*$E$8*F152/360</f>
        <v>6193.1439119814868</v>
      </c>
      <c r="H152" s="273"/>
      <c r="I152" s="275">
        <f t="shared" si="22"/>
        <v>92792.037245314816</v>
      </c>
      <c r="J152" s="271">
        <f t="shared" ref="J152:J161" si="27">B153-B152</f>
        <v>31</v>
      </c>
    </row>
    <row r="153" spans="1:12" s="271" customFormat="1">
      <c r="A153" s="271">
        <f t="shared" si="23"/>
        <v>134</v>
      </c>
      <c r="B153" s="272">
        <f t="shared" si="24"/>
        <v>48427</v>
      </c>
      <c r="C153" s="272">
        <f t="shared" si="20"/>
        <v>48458</v>
      </c>
      <c r="D153" s="355"/>
      <c r="E153" s="274">
        <f t="shared" si="25"/>
        <v>86598.893333333326</v>
      </c>
      <c r="F153" s="274">
        <f t="shared" si="21"/>
        <v>865988.93333333428</v>
      </c>
      <c r="G153" s="273">
        <f t="shared" si="26"/>
        <v>5630.1308290740808</v>
      </c>
      <c r="H153" s="273"/>
      <c r="I153" s="275">
        <f t="shared" si="22"/>
        <v>92229.024162407411</v>
      </c>
      <c r="J153" s="271">
        <f t="shared" si="27"/>
        <v>31</v>
      </c>
    </row>
    <row r="154" spans="1:12" s="271" customFormat="1">
      <c r="A154" s="271">
        <f t="shared" si="23"/>
        <v>135</v>
      </c>
      <c r="B154" s="272">
        <f t="shared" si="24"/>
        <v>48458</v>
      </c>
      <c r="C154" s="272">
        <f t="shared" si="20"/>
        <v>48488</v>
      </c>
      <c r="D154" s="355"/>
      <c r="E154" s="274">
        <f t="shared" si="25"/>
        <v>86598.893333333326</v>
      </c>
      <c r="F154" s="274">
        <f t="shared" si="21"/>
        <v>779390.04000000097</v>
      </c>
      <c r="G154" s="273">
        <f t="shared" si="26"/>
        <v>4903.6623350000064</v>
      </c>
      <c r="H154" s="273"/>
      <c r="I154" s="275">
        <f t="shared" si="22"/>
        <v>91502.555668333327</v>
      </c>
      <c r="J154" s="271">
        <f t="shared" si="27"/>
        <v>30</v>
      </c>
    </row>
    <row r="155" spans="1:12" s="271" customFormat="1">
      <c r="A155" s="271">
        <f t="shared" si="23"/>
        <v>136</v>
      </c>
      <c r="B155" s="272">
        <f t="shared" si="24"/>
        <v>48488</v>
      </c>
      <c r="C155" s="272">
        <f t="shared" si="20"/>
        <v>48519</v>
      </c>
      <c r="D155" s="355"/>
      <c r="E155" s="274">
        <f t="shared" si="25"/>
        <v>86598.893333333326</v>
      </c>
      <c r="F155" s="274">
        <f t="shared" si="21"/>
        <v>692791.14666666766</v>
      </c>
      <c r="G155" s="273">
        <f t="shared" si="26"/>
        <v>4504.1046632592661</v>
      </c>
      <c r="H155" s="273"/>
      <c r="I155" s="275">
        <f t="shared" si="22"/>
        <v>91102.997996592589</v>
      </c>
      <c r="J155" s="271">
        <f t="shared" si="27"/>
        <v>31</v>
      </c>
    </row>
    <row r="156" spans="1:12" s="271" customFormat="1">
      <c r="A156" s="271">
        <f t="shared" si="23"/>
        <v>137</v>
      </c>
      <c r="B156" s="272">
        <f t="shared" si="24"/>
        <v>48519</v>
      </c>
      <c r="C156" s="272">
        <f t="shared" si="20"/>
        <v>48549</v>
      </c>
      <c r="D156" s="355"/>
      <c r="E156" s="274">
        <f t="shared" si="25"/>
        <v>86598.893333333326</v>
      </c>
      <c r="F156" s="274">
        <f t="shared" si="21"/>
        <v>606192.25333333435</v>
      </c>
      <c r="G156" s="273">
        <f t="shared" si="26"/>
        <v>3813.9595938888956</v>
      </c>
      <c r="H156" s="273"/>
      <c r="I156" s="275">
        <f t="shared" si="22"/>
        <v>90412.852927222222</v>
      </c>
      <c r="J156" s="271">
        <f t="shared" si="27"/>
        <v>30</v>
      </c>
    </row>
    <row r="157" spans="1:12" s="281" customFormat="1">
      <c r="A157" s="281">
        <f t="shared" si="23"/>
        <v>138</v>
      </c>
      <c r="B157" s="282">
        <f t="shared" si="24"/>
        <v>48549</v>
      </c>
      <c r="C157" s="282">
        <f>B158</f>
        <v>48580</v>
      </c>
      <c r="D157" s="354"/>
      <c r="E157" s="283">
        <f t="shared" si="25"/>
        <v>86598.893333333326</v>
      </c>
      <c r="F157" s="283">
        <f>F156-E156</f>
        <v>519593.36000000103</v>
      </c>
      <c r="G157" s="285">
        <f t="shared" si="26"/>
        <v>3378.0784974444509</v>
      </c>
      <c r="H157" s="285"/>
      <c r="I157" s="284">
        <f t="shared" si="22"/>
        <v>89976.97183077778</v>
      </c>
      <c r="J157" s="281">
        <f t="shared" si="27"/>
        <v>31</v>
      </c>
      <c r="K157" s="286">
        <f>SUM(E146:E157)</f>
        <v>1039186.7199999999</v>
      </c>
      <c r="L157" s="286">
        <f>SUM(G146:G157)</f>
        <v>76351.83872718527</v>
      </c>
    </row>
    <row r="158" spans="1:12" s="271" customFormat="1">
      <c r="A158" s="271">
        <f>A157+1</f>
        <v>139</v>
      </c>
      <c r="B158" s="272">
        <f t="shared" si="24"/>
        <v>48580</v>
      </c>
      <c r="C158" s="272">
        <f>B159</f>
        <v>48611</v>
      </c>
      <c r="D158" s="355"/>
      <c r="E158" s="274">
        <f t="shared" si="25"/>
        <v>86598.893333333326</v>
      </c>
      <c r="F158" s="274">
        <f>F157-E157</f>
        <v>432994.46666666772</v>
      </c>
      <c r="G158" s="273">
        <f t="shared" si="26"/>
        <v>2815.0654145370436</v>
      </c>
      <c r="H158" s="273"/>
      <c r="I158" s="275">
        <f t="shared" si="22"/>
        <v>89413.958747870376</v>
      </c>
      <c r="J158" s="271">
        <f t="shared" si="27"/>
        <v>31</v>
      </c>
    </row>
    <row r="159" spans="1:12" s="271" customFormat="1">
      <c r="A159" s="271">
        <f>A158+1</f>
        <v>140</v>
      </c>
      <c r="B159" s="272">
        <f t="shared" si="24"/>
        <v>48611</v>
      </c>
      <c r="C159" s="272">
        <f>B160</f>
        <v>48639</v>
      </c>
      <c r="D159" s="355"/>
      <c r="E159" s="274">
        <f t="shared" si="25"/>
        <v>86598.893333333326</v>
      </c>
      <c r="F159" s="274">
        <f>F158-E158</f>
        <v>346395.57333333441</v>
      </c>
      <c r="G159" s="273">
        <f t="shared" si="26"/>
        <v>2034.1117834074134</v>
      </c>
      <c r="H159" s="273"/>
      <c r="I159" s="275">
        <f t="shared" si="22"/>
        <v>88633.005116740736</v>
      </c>
      <c r="J159" s="271">
        <f t="shared" si="27"/>
        <v>28</v>
      </c>
    </row>
    <row r="160" spans="1:12" s="271" customFormat="1">
      <c r="A160" s="271">
        <f>A159+1</f>
        <v>141</v>
      </c>
      <c r="B160" s="272">
        <f t="shared" si="24"/>
        <v>48639</v>
      </c>
      <c r="C160" s="272">
        <f>B161</f>
        <v>48670</v>
      </c>
      <c r="D160" s="355"/>
      <c r="E160" s="274">
        <f t="shared" si="25"/>
        <v>86598.893333333326</v>
      </c>
      <c r="F160" s="274">
        <f>F159-E159</f>
        <v>259796.6800000011</v>
      </c>
      <c r="G160" s="273">
        <f t="shared" si="26"/>
        <v>1689.0392487222293</v>
      </c>
      <c r="H160" s="273"/>
      <c r="I160" s="275">
        <f t="shared" si="22"/>
        <v>88287.932582055553</v>
      </c>
      <c r="J160" s="271">
        <f t="shared" si="27"/>
        <v>31</v>
      </c>
    </row>
    <row r="161" spans="1:12" s="271" customFormat="1">
      <c r="A161" s="271">
        <f>A160+1</f>
        <v>142</v>
      </c>
      <c r="B161" s="272">
        <f t="shared" si="24"/>
        <v>48670</v>
      </c>
      <c r="C161" s="272" t="e">
        <f>#REF!</f>
        <v>#REF!</v>
      </c>
      <c r="D161" s="355"/>
      <c r="E161" s="274">
        <f t="shared" si="25"/>
        <v>86598.893333333326</v>
      </c>
      <c r="F161" s="274">
        <f>F160-E160</f>
        <v>173197.78666666779</v>
      </c>
      <c r="G161" s="273">
        <f t="shared" si="26"/>
        <v>1089.7027411111183</v>
      </c>
      <c r="H161" s="273"/>
      <c r="I161" s="275">
        <f t="shared" si="22"/>
        <v>87688.596074444446</v>
      </c>
      <c r="J161" s="271">
        <f t="shared" si="27"/>
        <v>30</v>
      </c>
    </row>
    <row r="162" spans="1:12" s="271" customFormat="1">
      <c r="A162" s="271">
        <f t="shared" ref="A162:A163" si="28">A161+1</f>
        <v>143</v>
      </c>
      <c r="B162" s="272">
        <f t="shared" si="24"/>
        <v>48700</v>
      </c>
      <c r="C162" s="272" t="e">
        <f>#REF!</f>
        <v>#REF!</v>
      </c>
      <c r="D162" s="355"/>
      <c r="E162" s="274">
        <f t="shared" si="25"/>
        <v>86598.893333333326</v>
      </c>
      <c r="F162" s="274">
        <f t="shared" ref="F162:F163" si="29">F161-E161</f>
        <v>86598.893333334461</v>
      </c>
      <c r="G162" s="273">
        <f t="shared" si="26"/>
        <v>563.01308290741474</v>
      </c>
      <c r="H162" s="273"/>
      <c r="I162" s="275">
        <f t="shared" ref="I162:I163" si="30">E162+G162</f>
        <v>87161.906416240745</v>
      </c>
      <c r="J162" s="271">
        <f>B163-B162</f>
        <v>31</v>
      </c>
    </row>
    <row r="163" spans="1:12" s="271" customFormat="1">
      <c r="A163" s="271">
        <f t="shared" si="28"/>
        <v>144</v>
      </c>
      <c r="B163" s="272">
        <f t="shared" si="24"/>
        <v>48731</v>
      </c>
      <c r="C163" s="272" t="e">
        <f>#REF!</f>
        <v>#REF!</v>
      </c>
      <c r="D163" s="355"/>
      <c r="E163" s="274">
        <f t="shared" si="25"/>
        <v>86598.893333333326</v>
      </c>
      <c r="F163" s="274">
        <f t="shared" si="29"/>
        <v>1.1350493878126144E-9</v>
      </c>
      <c r="G163" s="273">
        <f t="shared" si="26"/>
        <v>7.1413523983210328E-12</v>
      </c>
      <c r="H163" s="273"/>
      <c r="I163" s="275">
        <f t="shared" si="30"/>
        <v>86598.893333333326</v>
      </c>
      <c r="J163" s="271">
        <v>30</v>
      </c>
    </row>
    <row r="164" spans="1:12" s="271" customFormat="1">
      <c r="B164" s="276" t="s">
        <v>40</v>
      </c>
      <c r="C164" s="276"/>
      <c r="D164" s="356">
        <f>SUM(D18:D161)</f>
        <v>10391867.199999999</v>
      </c>
      <c r="E164" s="277">
        <f>SUM(E14:E163)</f>
        <v>10391867.199999997</v>
      </c>
      <c r="F164" s="277"/>
      <c r="G164" s="277">
        <f>SUM(G21:G163)</f>
        <v>5273289.5047848942</v>
      </c>
      <c r="H164" s="277"/>
      <c r="I164" s="277">
        <f>SUM(I27:I163)</f>
        <v>15463561.697679341</v>
      </c>
      <c r="K164" s="280">
        <f>SUM(E158:E163)</f>
        <v>519593.35999999993</v>
      </c>
      <c r="L164" s="280">
        <f>SUM(G158:G163)</f>
        <v>8190.9322706852263</v>
      </c>
    </row>
    <row r="165" spans="1:12" s="271" customFormat="1">
      <c r="B165" s="278" t="s">
        <v>167</v>
      </c>
      <c r="C165" s="279"/>
      <c r="D165" s="279"/>
      <c r="E165" s="280"/>
      <c r="F165" s="280"/>
      <c r="G165" s="261"/>
      <c r="H165" s="261"/>
      <c r="I165" s="280"/>
    </row>
    <row r="166" spans="1:12" s="271" customFormat="1">
      <c r="B166" s="278"/>
      <c r="C166" s="279"/>
      <c r="D166" s="279"/>
      <c r="E166" s="280"/>
      <c r="F166" s="280"/>
      <c r="G166" s="261"/>
      <c r="H166" s="261"/>
      <c r="I166" s="280"/>
    </row>
    <row r="167" spans="1:12" s="271" customFormat="1">
      <c r="B167" s="279"/>
      <c r="C167" s="279"/>
      <c r="D167" s="279"/>
      <c r="E167" s="280"/>
      <c r="F167" s="280"/>
      <c r="G167" s="261"/>
      <c r="H167" s="261"/>
      <c r="I167" s="280"/>
      <c r="K167" s="280">
        <f>SUM(K164,K157,K145,K133,K121,K109,K97,K85,K73,K61,K49,K37)</f>
        <v>10391867.199999999</v>
      </c>
      <c r="L167" s="280">
        <f>SUM(L164,L157,L145,L133,L121,L109,L97,L85,L73,L61,L49,L37,L25)</f>
        <v>5273289.5047848942</v>
      </c>
    </row>
    <row r="168" spans="1:12" s="271" customFormat="1">
      <c r="B168" s="279"/>
      <c r="C168" s="279"/>
      <c r="D168" s="279"/>
      <c r="E168" s="280"/>
      <c r="F168" s="280"/>
      <c r="G168" s="261"/>
      <c r="H168" s="261">
        <f>12*12</f>
        <v>144</v>
      </c>
      <c r="I168" s="280"/>
    </row>
    <row r="169" spans="1:12" s="271" customFormat="1">
      <c r="B169" s="279"/>
      <c r="C169" s="279"/>
      <c r="D169" s="279"/>
      <c r="E169" s="280"/>
      <c r="F169" s="280"/>
      <c r="G169" s="261"/>
      <c r="H169" s="261"/>
      <c r="I169" s="280"/>
    </row>
    <row r="170" spans="1:12" s="271" customFormat="1">
      <c r="B170" s="279"/>
      <c r="C170" s="279"/>
      <c r="D170" s="279"/>
      <c r="E170" s="280"/>
      <c r="F170" s="280"/>
      <c r="G170" s="261"/>
      <c r="H170" s="261"/>
      <c r="I170" s="280"/>
    </row>
    <row r="171" spans="1:12" s="271" customFormat="1">
      <c r="B171" s="279"/>
      <c r="C171" s="279"/>
      <c r="D171" s="279"/>
      <c r="E171" s="280"/>
      <c r="F171" s="280"/>
      <c r="G171" s="261"/>
      <c r="H171" s="261"/>
      <c r="I171" s="280"/>
    </row>
    <row r="172" spans="1:12" s="271" customFormat="1">
      <c r="B172" s="279"/>
      <c r="C172" s="279"/>
      <c r="D172" s="279"/>
      <c r="E172" s="280"/>
      <c r="F172" s="280"/>
      <c r="G172" s="261"/>
      <c r="H172" s="261"/>
      <c r="I172" s="280"/>
    </row>
    <row r="173" spans="1:12" s="271" customFormat="1">
      <c r="B173" s="279"/>
      <c r="C173" s="279"/>
      <c r="D173" s="279"/>
      <c r="E173" s="280"/>
      <c r="F173" s="280"/>
      <c r="G173" s="261"/>
      <c r="H173" s="261"/>
      <c r="I173" s="280"/>
    </row>
    <row r="174" spans="1:12" s="271" customFormat="1">
      <c r="B174" s="279"/>
      <c r="C174" s="279"/>
      <c r="D174" s="279"/>
      <c r="E174" s="280"/>
      <c r="F174" s="280"/>
      <c r="G174" s="261"/>
      <c r="H174" s="261"/>
      <c r="I174" s="280"/>
    </row>
    <row r="175" spans="1:12" s="271" customFormat="1">
      <c r="B175" s="279"/>
      <c r="C175" s="279"/>
      <c r="D175" s="279"/>
      <c r="E175" s="280"/>
      <c r="F175" s="280"/>
      <c r="G175" s="261"/>
      <c r="H175" s="261"/>
      <c r="I175" s="280"/>
    </row>
    <row r="176" spans="1:12" s="271" customFormat="1">
      <c r="B176" s="279"/>
      <c r="C176" s="279"/>
      <c r="D176" s="279"/>
      <c r="E176" s="280"/>
      <c r="F176" s="280"/>
      <c r="G176" s="261"/>
      <c r="H176" s="261"/>
      <c r="I176" s="280"/>
    </row>
    <row r="177" spans="2:9" s="271" customFormat="1">
      <c r="B177" s="279"/>
      <c r="C177" s="279"/>
      <c r="D177" s="279"/>
      <c r="E177" s="280"/>
      <c r="F177" s="280"/>
      <c r="G177" s="261"/>
      <c r="H177" s="261"/>
      <c r="I177" s="280"/>
    </row>
    <row r="178" spans="2:9" s="271" customFormat="1">
      <c r="B178" s="279"/>
      <c r="C178" s="279"/>
      <c r="D178" s="279"/>
      <c r="E178" s="280"/>
      <c r="F178" s="280"/>
      <c r="G178" s="261"/>
      <c r="H178" s="261"/>
      <c r="I178" s="280"/>
    </row>
    <row r="179" spans="2:9" s="271" customFormat="1">
      <c r="B179" s="279"/>
      <c r="C179" s="279"/>
      <c r="D179" s="279"/>
      <c r="E179" s="280"/>
      <c r="F179" s="280"/>
      <c r="G179" s="261"/>
      <c r="H179" s="261"/>
      <c r="I179" s="280"/>
    </row>
    <row r="180" spans="2:9" s="271" customFormat="1">
      <c r="B180" s="279"/>
      <c r="C180" s="279"/>
      <c r="D180" s="279"/>
      <c r="E180" s="280"/>
      <c r="F180" s="280"/>
      <c r="G180" s="261"/>
      <c r="H180" s="261"/>
      <c r="I180" s="280"/>
    </row>
    <row r="181" spans="2:9" s="271" customFormat="1">
      <c r="B181" s="279"/>
      <c r="C181" s="279"/>
      <c r="D181" s="279"/>
      <c r="E181" s="280"/>
      <c r="F181" s="280"/>
      <c r="G181" s="261"/>
      <c r="H181" s="261"/>
      <c r="I181" s="280"/>
    </row>
    <row r="182" spans="2:9" s="271" customFormat="1">
      <c r="B182" s="279"/>
      <c r="C182" s="279"/>
      <c r="D182" s="279"/>
      <c r="E182" s="280"/>
      <c r="F182" s="280"/>
      <c r="G182" s="261"/>
      <c r="H182" s="261"/>
      <c r="I182" s="280"/>
    </row>
    <row r="183" spans="2:9" s="271" customFormat="1">
      <c r="B183" s="279"/>
      <c r="C183" s="279"/>
      <c r="D183" s="279"/>
      <c r="E183" s="280"/>
      <c r="F183" s="280"/>
      <c r="G183" s="261"/>
      <c r="H183" s="261"/>
      <c r="I183" s="280"/>
    </row>
    <row r="184" spans="2:9" s="271" customFormat="1">
      <c r="B184" s="279"/>
      <c r="C184" s="279"/>
      <c r="D184" s="279"/>
      <c r="E184" s="280"/>
      <c r="F184" s="280"/>
      <c r="G184" s="261"/>
      <c r="H184" s="261"/>
      <c r="I184" s="280"/>
    </row>
    <row r="185" spans="2:9" s="271" customFormat="1">
      <c r="B185" s="279"/>
      <c r="C185" s="279"/>
      <c r="D185" s="279"/>
      <c r="E185" s="280"/>
      <c r="F185" s="280"/>
      <c r="G185" s="261"/>
      <c r="H185" s="261"/>
      <c r="I185" s="280"/>
    </row>
    <row r="186" spans="2:9" s="271" customFormat="1">
      <c r="B186" s="279"/>
      <c r="C186" s="279"/>
      <c r="D186" s="279"/>
      <c r="E186" s="280"/>
      <c r="F186" s="280"/>
      <c r="G186" s="261"/>
      <c r="H186" s="261"/>
      <c r="I186" s="280"/>
    </row>
    <row r="187" spans="2:9" s="271" customFormat="1">
      <c r="B187" s="279"/>
      <c r="C187" s="279"/>
      <c r="D187" s="279"/>
      <c r="E187" s="280"/>
      <c r="F187" s="280"/>
      <c r="G187" s="261"/>
      <c r="H187" s="261"/>
      <c r="I187" s="280"/>
    </row>
    <row r="188" spans="2:9" s="271" customFormat="1">
      <c r="B188" s="279"/>
      <c r="C188" s="279"/>
      <c r="D188" s="279"/>
      <c r="E188" s="280"/>
      <c r="F188" s="280"/>
      <c r="G188" s="261"/>
      <c r="H188" s="261"/>
      <c r="I188" s="280"/>
    </row>
    <row r="189" spans="2:9" s="271" customFormat="1">
      <c r="B189" s="279"/>
      <c r="C189" s="279"/>
      <c r="D189" s="279"/>
      <c r="E189" s="280"/>
      <c r="F189" s="280"/>
      <c r="G189" s="261"/>
      <c r="H189" s="261"/>
      <c r="I189" s="280"/>
    </row>
    <row r="190" spans="2:9" s="271" customFormat="1">
      <c r="B190" s="279"/>
      <c r="C190" s="279"/>
      <c r="D190" s="279"/>
      <c r="E190" s="280"/>
      <c r="F190" s="280"/>
      <c r="G190" s="261"/>
      <c r="H190" s="261"/>
      <c r="I190" s="280"/>
    </row>
    <row r="191" spans="2:9" s="271" customFormat="1">
      <c r="B191" s="279"/>
      <c r="C191" s="279"/>
      <c r="D191" s="279"/>
      <c r="E191" s="280"/>
      <c r="F191" s="280"/>
      <c r="G191" s="261"/>
      <c r="H191" s="261"/>
      <c r="I191" s="280"/>
    </row>
    <row r="192" spans="2:9" s="271" customFormat="1">
      <c r="B192" s="279"/>
      <c r="C192" s="279"/>
      <c r="D192" s="279"/>
      <c r="E192" s="280"/>
      <c r="F192" s="280"/>
      <c r="G192" s="261"/>
      <c r="H192" s="261"/>
      <c r="I192" s="280"/>
    </row>
    <row r="193" spans="2:9" s="271" customFormat="1">
      <c r="B193" s="279"/>
      <c r="C193" s="279"/>
      <c r="D193" s="279"/>
      <c r="E193" s="280"/>
      <c r="F193" s="280"/>
      <c r="G193" s="261"/>
      <c r="H193" s="261"/>
      <c r="I193" s="280"/>
    </row>
    <row r="194" spans="2:9" s="271" customFormat="1">
      <c r="B194" s="279"/>
      <c r="C194" s="279"/>
      <c r="D194" s="279"/>
      <c r="E194" s="280"/>
      <c r="F194" s="280"/>
      <c r="G194" s="261"/>
      <c r="H194" s="261"/>
      <c r="I194" s="280"/>
    </row>
    <row r="195" spans="2:9" s="271" customFormat="1">
      <c r="B195" s="279"/>
      <c r="C195" s="279"/>
      <c r="D195" s="279"/>
      <c r="E195" s="280"/>
      <c r="F195" s="280"/>
      <c r="G195" s="261"/>
      <c r="H195" s="261"/>
      <c r="I195" s="280"/>
    </row>
    <row r="196" spans="2:9" s="271" customFormat="1">
      <c r="B196" s="279"/>
      <c r="C196" s="279"/>
      <c r="D196" s="279"/>
      <c r="E196" s="280"/>
      <c r="F196" s="280"/>
      <c r="G196" s="261"/>
      <c r="H196" s="261"/>
      <c r="I196" s="280"/>
    </row>
    <row r="197" spans="2:9" s="271" customFormat="1">
      <c r="B197" s="279"/>
      <c r="C197" s="279"/>
      <c r="D197" s="279"/>
      <c r="E197" s="280"/>
      <c r="F197" s="280"/>
      <c r="G197" s="261"/>
      <c r="H197" s="261"/>
      <c r="I197" s="280"/>
    </row>
    <row r="198" spans="2:9" s="271" customFormat="1">
      <c r="B198" s="279"/>
      <c r="C198" s="279"/>
      <c r="D198" s="279"/>
      <c r="E198" s="280"/>
      <c r="F198" s="280"/>
      <c r="G198" s="261"/>
      <c r="H198" s="261"/>
      <c r="I198" s="280"/>
    </row>
    <row r="199" spans="2:9" s="271" customFormat="1">
      <c r="B199" s="279"/>
      <c r="C199" s="279"/>
      <c r="D199" s="279"/>
      <c r="E199" s="280"/>
      <c r="F199" s="280"/>
      <c r="G199" s="261"/>
      <c r="H199" s="261"/>
      <c r="I199" s="280"/>
    </row>
    <row r="200" spans="2:9" s="271" customFormat="1">
      <c r="B200" s="279"/>
      <c r="C200" s="279"/>
      <c r="D200" s="279"/>
      <c r="E200" s="280"/>
      <c r="F200" s="280"/>
      <c r="G200" s="261"/>
      <c r="H200" s="261"/>
      <c r="I200" s="280"/>
    </row>
    <row r="201" spans="2:9" s="271" customFormat="1">
      <c r="B201" s="279"/>
      <c r="C201" s="279"/>
      <c r="D201" s="279"/>
      <c r="E201" s="280"/>
      <c r="F201" s="280"/>
      <c r="G201" s="261"/>
      <c r="H201" s="261"/>
      <c r="I201" s="280"/>
    </row>
    <row r="202" spans="2:9" s="271" customFormat="1">
      <c r="B202" s="279"/>
      <c r="C202" s="279"/>
      <c r="D202" s="279"/>
      <c r="E202" s="280"/>
      <c r="F202" s="280"/>
      <c r="G202" s="261"/>
      <c r="H202" s="261"/>
      <c r="I202" s="280"/>
    </row>
    <row r="203" spans="2:9" s="271" customFormat="1">
      <c r="B203" s="279"/>
      <c r="C203" s="279"/>
      <c r="D203" s="279"/>
      <c r="E203" s="280"/>
      <c r="F203" s="280"/>
      <c r="G203" s="261"/>
      <c r="H203" s="261"/>
      <c r="I203" s="280"/>
    </row>
    <row r="204" spans="2:9" s="271" customFormat="1">
      <c r="B204" s="279"/>
      <c r="C204" s="279"/>
      <c r="D204" s="279"/>
      <c r="E204" s="280"/>
      <c r="F204" s="280"/>
      <c r="G204" s="261"/>
      <c r="H204" s="261"/>
      <c r="I204" s="280"/>
    </row>
    <row r="205" spans="2:9" s="271" customFormat="1">
      <c r="B205" s="279"/>
      <c r="C205" s="279"/>
      <c r="D205" s="279"/>
      <c r="E205" s="280"/>
      <c r="F205" s="280"/>
      <c r="G205" s="261"/>
      <c r="H205" s="261"/>
      <c r="I205" s="280"/>
    </row>
    <row r="206" spans="2:9" s="271" customFormat="1">
      <c r="B206" s="279"/>
      <c r="C206" s="279"/>
      <c r="D206" s="279"/>
      <c r="E206" s="280"/>
      <c r="F206" s="280"/>
      <c r="G206" s="261"/>
      <c r="H206" s="261"/>
      <c r="I206" s="280"/>
    </row>
    <row r="207" spans="2:9" s="271" customFormat="1">
      <c r="B207" s="279"/>
      <c r="C207" s="279"/>
      <c r="D207" s="279"/>
      <c r="E207" s="280"/>
      <c r="F207" s="280"/>
      <c r="G207" s="261"/>
      <c r="H207" s="261"/>
      <c r="I207" s="280"/>
    </row>
    <row r="208" spans="2:9" s="271" customFormat="1">
      <c r="B208" s="279"/>
      <c r="C208" s="279"/>
      <c r="D208" s="279"/>
      <c r="E208" s="280"/>
      <c r="F208" s="280"/>
      <c r="G208" s="261"/>
      <c r="H208" s="261"/>
      <c r="I208" s="280"/>
    </row>
    <row r="209" spans="2:9" s="271" customFormat="1">
      <c r="B209" s="279"/>
      <c r="C209" s="279"/>
      <c r="D209" s="279"/>
      <c r="E209" s="280"/>
      <c r="F209" s="280"/>
      <c r="G209" s="261"/>
      <c r="H209" s="261"/>
      <c r="I209" s="280"/>
    </row>
    <row r="210" spans="2:9" s="271" customFormat="1">
      <c r="B210" s="279"/>
      <c r="C210" s="279"/>
      <c r="D210" s="279"/>
      <c r="E210" s="280"/>
      <c r="F210" s="280"/>
      <c r="G210" s="261"/>
      <c r="H210" s="261"/>
      <c r="I210" s="280"/>
    </row>
    <row r="211" spans="2:9" s="271" customFormat="1">
      <c r="B211" s="279"/>
      <c r="C211" s="279"/>
      <c r="D211" s="279"/>
      <c r="E211" s="280"/>
      <c r="F211" s="280"/>
      <c r="G211" s="261"/>
      <c r="H211" s="261"/>
      <c r="I211" s="280"/>
    </row>
    <row r="212" spans="2:9" s="271" customFormat="1">
      <c r="B212" s="279"/>
      <c r="C212" s="279"/>
      <c r="D212" s="279"/>
      <c r="E212" s="280"/>
      <c r="F212" s="280"/>
      <c r="G212" s="261"/>
      <c r="H212" s="261"/>
      <c r="I212" s="280"/>
    </row>
    <row r="213" spans="2:9" s="271" customFormat="1">
      <c r="B213" s="279"/>
      <c r="C213" s="279"/>
      <c r="D213" s="279"/>
      <c r="E213" s="280"/>
      <c r="F213" s="280"/>
      <c r="G213" s="261"/>
      <c r="H213" s="261"/>
      <c r="I213" s="280"/>
    </row>
    <row r="214" spans="2:9" s="271" customFormat="1">
      <c r="B214" s="279"/>
      <c r="C214" s="279"/>
      <c r="D214" s="279"/>
      <c r="E214" s="280"/>
      <c r="F214" s="280"/>
      <c r="G214" s="261"/>
      <c r="H214" s="261"/>
      <c r="I214" s="280"/>
    </row>
    <row r="215" spans="2:9" s="271" customFormat="1">
      <c r="B215" s="279"/>
      <c r="C215" s="279"/>
      <c r="D215" s="279"/>
      <c r="E215" s="280"/>
      <c r="F215" s="280"/>
      <c r="G215" s="261"/>
      <c r="H215" s="261"/>
      <c r="I215" s="280"/>
    </row>
    <row r="216" spans="2:9" s="271" customFormat="1">
      <c r="B216" s="279"/>
      <c r="C216" s="279"/>
      <c r="D216" s="279"/>
      <c r="E216" s="280"/>
      <c r="F216" s="280"/>
      <c r="G216" s="261"/>
      <c r="H216" s="261"/>
      <c r="I216" s="280"/>
    </row>
    <row r="217" spans="2:9" s="271" customFormat="1">
      <c r="B217" s="279"/>
      <c r="C217" s="279"/>
      <c r="D217" s="279"/>
      <c r="E217" s="280"/>
      <c r="F217" s="280"/>
      <c r="G217" s="261"/>
      <c r="H217" s="261"/>
      <c r="I217" s="280"/>
    </row>
    <row r="218" spans="2:9" s="271" customFormat="1">
      <c r="B218" s="279"/>
      <c r="C218" s="279"/>
      <c r="D218" s="279"/>
      <c r="E218" s="280"/>
      <c r="F218" s="280"/>
      <c r="G218" s="261"/>
      <c r="H218" s="261"/>
      <c r="I218" s="280"/>
    </row>
    <row r="219" spans="2:9" s="271" customFormat="1">
      <c r="B219" s="279"/>
      <c r="C219" s="279"/>
      <c r="D219" s="279"/>
      <c r="E219" s="280"/>
      <c r="F219" s="280"/>
      <c r="G219" s="261"/>
      <c r="H219" s="261"/>
      <c r="I219" s="280"/>
    </row>
    <row r="220" spans="2:9" s="271" customFormat="1">
      <c r="B220" s="279"/>
      <c r="C220" s="279"/>
      <c r="D220" s="279"/>
      <c r="E220" s="280"/>
      <c r="F220" s="280"/>
      <c r="G220" s="261"/>
      <c r="H220" s="261"/>
      <c r="I220" s="280"/>
    </row>
    <row r="221" spans="2:9" s="271" customFormat="1">
      <c r="B221" s="279"/>
      <c r="C221" s="279"/>
      <c r="D221" s="279"/>
      <c r="E221" s="280"/>
      <c r="F221" s="280"/>
      <c r="G221" s="261"/>
      <c r="H221" s="261"/>
      <c r="I221" s="280"/>
    </row>
    <row r="222" spans="2:9" s="271" customFormat="1">
      <c r="B222" s="279"/>
      <c r="C222" s="279"/>
      <c r="D222" s="279"/>
      <c r="E222" s="280"/>
      <c r="F222" s="280"/>
      <c r="G222" s="261"/>
      <c r="H222" s="261"/>
      <c r="I222" s="280"/>
    </row>
    <row r="223" spans="2:9" s="271" customFormat="1">
      <c r="B223" s="279"/>
      <c r="C223" s="279"/>
      <c r="D223" s="279"/>
      <c r="E223" s="280"/>
      <c r="F223" s="280"/>
      <c r="G223" s="261"/>
      <c r="H223" s="261"/>
      <c r="I223" s="280"/>
    </row>
    <row r="224" spans="2:9" s="271" customFormat="1">
      <c r="B224" s="279"/>
      <c r="C224" s="279"/>
      <c r="D224" s="279"/>
      <c r="E224" s="280"/>
      <c r="F224" s="280"/>
      <c r="G224" s="261"/>
      <c r="H224" s="261"/>
      <c r="I224" s="280"/>
    </row>
    <row r="225" spans="2:9" s="271" customFormat="1">
      <c r="B225" s="279"/>
      <c r="C225" s="279"/>
      <c r="D225" s="279"/>
      <c r="E225" s="280"/>
      <c r="F225" s="280"/>
      <c r="G225" s="261"/>
      <c r="H225" s="261"/>
      <c r="I225" s="280"/>
    </row>
    <row r="226" spans="2:9" s="271" customFormat="1">
      <c r="B226" s="279"/>
      <c r="C226" s="279"/>
      <c r="D226" s="279"/>
      <c r="E226" s="280"/>
      <c r="F226" s="280"/>
      <c r="G226" s="261"/>
      <c r="H226" s="261"/>
      <c r="I226" s="280"/>
    </row>
    <row r="227" spans="2:9" s="271" customFormat="1">
      <c r="B227" s="279"/>
      <c r="C227" s="279"/>
      <c r="D227" s="279"/>
      <c r="E227" s="280"/>
      <c r="F227" s="280"/>
      <c r="G227" s="261"/>
      <c r="H227" s="261"/>
      <c r="I227" s="280"/>
    </row>
    <row r="228" spans="2:9" s="271" customFormat="1">
      <c r="B228" s="279"/>
      <c r="C228" s="279"/>
      <c r="D228" s="279"/>
      <c r="E228" s="280"/>
      <c r="F228" s="280"/>
      <c r="G228" s="261"/>
      <c r="H228" s="261"/>
      <c r="I228" s="280"/>
    </row>
    <row r="229" spans="2:9" s="271" customFormat="1">
      <c r="B229" s="279"/>
      <c r="C229" s="279"/>
      <c r="D229" s="279"/>
      <c r="E229" s="280"/>
      <c r="F229" s="280"/>
      <c r="G229" s="261"/>
      <c r="H229" s="261"/>
      <c r="I229" s="280"/>
    </row>
    <row r="230" spans="2:9" s="271" customFormat="1">
      <c r="B230" s="279"/>
      <c r="C230" s="279"/>
      <c r="D230" s="279"/>
      <c r="E230" s="280"/>
      <c r="F230" s="280"/>
      <c r="G230" s="261"/>
      <c r="H230" s="261"/>
      <c r="I230" s="280"/>
    </row>
    <row r="231" spans="2:9" s="271" customFormat="1">
      <c r="B231" s="279"/>
      <c r="C231" s="279"/>
      <c r="D231" s="279"/>
      <c r="E231" s="280"/>
      <c r="F231" s="280"/>
      <c r="G231" s="261"/>
      <c r="H231" s="261"/>
      <c r="I231" s="280"/>
    </row>
    <row r="232" spans="2:9" s="271" customFormat="1">
      <c r="B232" s="279"/>
      <c r="C232" s="279"/>
      <c r="D232" s="279"/>
      <c r="E232" s="280"/>
      <c r="F232" s="280"/>
      <c r="G232" s="261"/>
      <c r="H232" s="261"/>
      <c r="I232" s="280"/>
    </row>
    <row r="233" spans="2:9" s="271" customFormat="1">
      <c r="B233" s="279"/>
      <c r="C233" s="279"/>
      <c r="D233" s="279"/>
      <c r="E233" s="280"/>
      <c r="F233" s="280"/>
      <c r="G233" s="261"/>
      <c r="H233" s="261"/>
      <c r="I233" s="280"/>
    </row>
    <row r="234" spans="2:9" s="271" customFormat="1">
      <c r="B234" s="279"/>
      <c r="C234" s="279"/>
      <c r="D234" s="279"/>
      <c r="E234" s="280"/>
      <c r="F234" s="280"/>
      <c r="G234" s="261"/>
      <c r="H234" s="261"/>
      <c r="I234" s="280"/>
    </row>
    <row r="235" spans="2:9" s="271" customFormat="1">
      <c r="B235" s="279"/>
      <c r="C235" s="279"/>
      <c r="D235" s="279"/>
      <c r="E235" s="280"/>
      <c r="F235" s="280"/>
      <c r="G235" s="261"/>
      <c r="H235" s="261"/>
      <c r="I235" s="280"/>
    </row>
    <row r="236" spans="2:9" s="271" customFormat="1">
      <c r="B236" s="279"/>
      <c r="C236" s="279"/>
      <c r="D236" s="279"/>
      <c r="E236" s="280"/>
      <c r="F236" s="280"/>
      <c r="G236" s="261"/>
      <c r="H236" s="261"/>
      <c r="I236" s="280"/>
    </row>
    <row r="237" spans="2:9" s="271" customFormat="1">
      <c r="B237" s="279"/>
      <c r="C237" s="279"/>
      <c r="D237" s="279"/>
      <c r="E237" s="280"/>
      <c r="F237" s="280"/>
      <c r="G237" s="261"/>
      <c r="H237" s="261"/>
      <c r="I237" s="280"/>
    </row>
    <row r="238" spans="2:9" s="271" customFormat="1">
      <c r="B238" s="279"/>
      <c r="C238" s="279"/>
      <c r="D238" s="279"/>
      <c r="E238" s="280"/>
      <c r="F238" s="280"/>
      <c r="G238" s="261"/>
      <c r="H238" s="261"/>
      <c r="I238" s="280"/>
    </row>
    <row r="239" spans="2:9" s="271" customFormat="1">
      <c r="B239" s="279"/>
      <c r="C239" s="279"/>
      <c r="D239" s="279"/>
      <c r="E239" s="280"/>
      <c r="F239" s="280"/>
      <c r="G239" s="261"/>
      <c r="H239" s="261"/>
      <c r="I239" s="280"/>
    </row>
    <row r="240" spans="2:9" s="271" customFormat="1">
      <c r="B240" s="279"/>
      <c r="C240" s="279"/>
      <c r="D240" s="279"/>
      <c r="E240" s="280"/>
      <c r="F240" s="280"/>
      <c r="G240" s="261"/>
      <c r="H240" s="261"/>
      <c r="I240" s="280"/>
    </row>
    <row r="241" spans="2:9" s="271" customFormat="1">
      <c r="B241" s="279"/>
      <c r="C241" s="279"/>
      <c r="D241" s="279"/>
      <c r="E241" s="280"/>
      <c r="F241" s="280"/>
      <c r="G241" s="261"/>
      <c r="H241" s="261"/>
      <c r="I241" s="280"/>
    </row>
    <row r="242" spans="2:9" s="271" customFormat="1">
      <c r="B242" s="279"/>
      <c r="C242" s="279"/>
      <c r="D242" s="279"/>
      <c r="E242" s="280"/>
      <c r="F242" s="280"/>
      <c r="G242" s="261"/>
      <c r="H242" s="261"/>
      <c r="I242" s="280"/>
    </row>
    <row r="243" spans="2:9" s="271" customFormat="1">
      <c r="B243" s="279"/>
      <c r="C243" s="279"/>
      <c r="D243" s="279"/>
      <c r="E243" s="280"/>
      <c r="F243" s="280"/>
      <c r="G243" s="261"/>
      <c r="H243" s="261"/>
      <c r="I243" s="280"/>
    </row>
    <row r="244" spans="2:9" s="271" customFormat="1">
      <c r="B244" s="279"/>
      <c r="C244" s="279"/>
      <c r="D244" s="279"/>
      <c r="E244" s="280"/>
      <c r="F244" s="280"/>
      <c r="G244" s="261"/>
      <c r="H244" s="261"/>
      <c r="I244" s="280"/>
    </row>
    <row r="245" spans="2:9" s="271" customFormat="1">
      <c r="B245" s="279"/>
      <c r="C245" s="279"/>
      <c r="D245" s="279"/>
      <c r="E245" s="280"/>
      <c r="F245" s="280"/>
      <c r="G245" s="261"/>
      <c r="H245" s="261"/>
      <c r="I245" s="280"/>
    </row>
    <row r="246" spans="2:9" s="271" customFormat="1">
      <c r="B246" s="279"/>
      <c r="C246" s="279"/>
      <c r="D246" s="279"/>
      <c r="E246" s="280"/>
      <c r="F246" s="280"/>
      <c r="G246" s="261"/>
      <c r="H246" s="261"/>
      <c r="I246" s="280"/>
    </row>
    <row r="247" spans="2:9" s="271" customFormat="1">
      <c r="B247" s="279"/>
      <c r="C247" s="279"/>
      <c r="D247" s="279"/>
      <c r="E247" s="280"/>
      <c r="F247" s="280"/>
      <c r="G247" s="261"/>
      <c r="H247" s="261"/>
      <c r="I247" s="280"/>
    </row>
    <row r="248" spans="2:9" s="271" customFormat="1">
      <c r="B248" s="279"/>
      <c r="C248" s="279"/>
      <c r="D248" s="279"/>
      <c r="E248" s="280"/>
      <c r="F248" s="280"/>
      <c r="G248" s="261"/>
      <c r="H248" s="261"/>
      <c r="I248" s="280"/>
    </row>
    <row r="249" spans="2:9" s="271" customFormat="1">
      <c r="B249" s="279"/>
      <c r="C249" s="279"/>
      <c r="D249" s="279"/>
      <c r="E249" s="280"/>
      <c r="F249" s="280"/>
      <c r="G249" s="261"/>
      <c r="H249" s="261"/>
      <c r="I249" s="280"/>
    </row>
    <row r="250" spans="2:9" s="271" customFormat="1">
      <c r="B250" s="279"/>
      <c r="C250" s="279"/>
      <c r="D250" s="279"/>
      <c r="E250" s="280"/>
      <c r="F250" s="280"/>
      <c r="G250" s="261"/>
      <c r="H250" s="261"/>
      <c r="I250" s="280"/>
    </row>
    <row r="251" spans="2:9" s="271" customFormat="1">
      <c r="B251" s="279"/>
      <c r="C251" s="279"/>
      <c r="D251" s="279"/>
      <c r="E251" s="280"/>
      <c r="F251" s="280"/>
      <c r="G251" s="261"/>
      <c r="H251" s="261"/>
      <c r="I251" s="280"/>
    </row>
    <row r="252" spans="2:9" s="271" customFormat="1">
      <c r="B252" s="279"/>
      <c r="C252" s="279"/>
      <c r="D252" s="279"/>
      <c r="E252" s="280"/>
      <c r="F252" s="280"/>
      <c r="G252" s="261"/>
      <c r="H252" s="261"/>
      <c r="I252" s="280"/>
    </row>
    <row r="253" spans="2:9" s="271" customFormat="1">
      <c r="B253" s="279"/>
      <c r="C253" s="279"/>
      <c r="D253" s="279"/>
      <c r="E253" s="280"/>
      <c r="F253" s="280"/>
      <c r="G253" s="261"/>
      <c r="H253" s="261"/>
      <c r="I253" s="280"/>
    </row>
    <row r="254" spans="2:9" s="271" customFormat="1">
      <c r="B254" s="279"/>
      <c r="C254" s="279"/>
      <c r="D254" s="279"/>
      <c r="E254" s="280"/>
      <c r="F254" s="280"/>
      <c r="G254" s="261"/>
      <c r="H254" s="261"/>
      <c r="I254" s="280"/>
    </row>
    <row r="255" spans="2:9" s="271" customFormat="1">
      <c r="B255" s="279"/>
      <c r="C255" s="279"/>
      <c r="D255" s="279"/>
      <c r="E255" s="280"/>
      <c r="F255" s="280"/>
      <c r="G255" s="261"/>
      <c r="H255" s="261"/>
      <c r="I255" s="280"/>
    </row>
    <row r="256" spans="2:9" s="271" customFormat="1">
      <c r="B256" s="279"/>
      <c r="C256" s="279"/>
      <c r="D256" s="279"/>
      <c r="E256" s="280"/>
      <c r="F256" s="280"/>
      <c r="G256" s="261"/>
      <c r="H256" s="261"/>
      <c r="I256" s="280"/>
    </row>
    <row r="257" spans="2:9" s="271" customFormat="1">
      <c r="B257" s="279"/>
      <c r="C257" s="279"/>
      <c r="D257" s="279"/>
      <c r="E257" s="280"/>
      <c r="F257" s="280"/>
      <c r="G257" s="261"/>
      <c r="H257" s="261"/>
      <c r="I257" s="280"/>
    </row>
    <row r="258" spans="2:9" s="271" customFormat="1">
      <c r="B258" s="279"/>
      <c r="C258" s="279"/>
      <c r="D258" s="279"/>
      <c r="E258" s="280"/>
      <c r="F258" s="280"/>
      <c r="G258" s="261"/>
      <c r="H258" s="261"/>
      <c r="I258" s="280"/>
    </row>
    <row r="259" spans="2:9" s="271" customFormat="1">
      <c r="B259" s="279"/>
      <c r="C259" s="279"/>
      <c r="D259" s="279"/>
      <c r="E259" s="280"/>
      <c r="F259" s="280"/>
      <c r="G259" s="261"/>
      <c r="H259" s="261"/>
      <c r="I259" s="280"/>
    </row>
    <row r="260" spans="2:9" s="271" customFormat="1">
      <c r="B260" s="279"/>
      <c r="C260" s="279"/>
      <c r="D260" s="279"/>
      <c r="E260" s="280"/>
      <c r="F260" s="280"/>
      <c r="G260" s="261"/>
      <c r="H260" s="261"/>
      <c r="I260" s="280"/>
    </row>
    <row r="261" spans="2:9" s="271" customFormat="1">
      <c r="B261" s="279"/>
      <c r="C261" s="279"/>
      <c r="D261" s="279"/>
      <c r="E261" s="280"/>
      <c r="F261" s="280"/>
      <c r="G261" s="261"/>
      <c r="H261" s="261"/>
      <c r="I261" s="280"/>
    </row>
    <row r="262" spans="2:9" s="271" customFormat="1">
      <c r="B262" s="279"/>
      <c r="C262" s="279"/>
      <c r="D262" s="279"/>
      <c r="E262" s="280"/>
      <c r="F262" s="280"/>
      <c r="G262" s="261"/>
      <c r="H262" s="261"/>
      <c r="I262" s="280"/>
    </row>
    <row r="263" spans="2:9" s="271" customFormat="1">
      <c r="B263" s="279"/>
      <c r="C263" s="279"/>
      <c r="D263" s="279"/>
      <c r="E263" s="280"/>
      <c r="F263" s="280"/>
      <c r="G263" s="261"/>
      <c r="H263" s="261"/>
      <c r="I263" s="280"/>
    </row>
    <row r="264" spans="2:9" s="271" customFormat="1">
      <c r="B264" s="279"/>
      <c r="C264" s="279"/>
      <c r="D264" s="279"/>
      <c r="E264" s="280"/>
      <c r="F264" s="280"/>
      <c r="G264" s="261"/>
      <c r="H264" s="261"/>
      <c r="I264" s="280"/>
    </row>
    <row r="265" spans="2:9" s="271" customFormat="1">
      <c r="B265" s="279"/>
      <c r="C265" s="279"/>
      <c r="D265" s="279"/>
      <c r="E265" s="280"/>
      <c r="F265" s="280"/>
      <c r="G265" s="261"/>
      <c r="H265" s="261"/>
      <c r="I265" s="280"/>
    </row>
    <row r="266" spans="2:9" s="271" customFormat="1">
      <c r="B266" s="279"/>
      <c r="C266" s="279"/>
      <c r="D266" s="279"/>
      <c r="E266" s="280"/>
      <c r="F266" s="280"/>
      <c r="G266" s="261"/>
      <c r="H266" s="261"/>
      <c r="I266" s="280"/>
    </row>
    <row r="267" spans="2:9" s="271" customFormat="1">
      <c r="B267" s="279"/>
      <c r="C267" s="279"/>
      <c r="D267" s="279"/>
      <c r="E267" s="280"/>
      <c r="F267" s="280"/>
      <c r="G267" s="261"/>
      <c r="H267" s="261"/>
      <c r="I267" s="280"/>
    </row>
    <row r="268" spans="2:9" s="271" customFormat="1">
      <c r="B268" s="279"/>
      <c r="C268" s="279"/>
      <c r="D268" s="279"/>
      <c r="E268" s="280"/>
      <c r="F268" s="280"/>
      <c r="G268" s="261"/>
      <c r="H268" s="261"/>
      <c r="I268" s="280"/>
    </row>
    <row r="269" spans="2:9" s="271" customFormat="1">
      <c r="B269" s="279"/>
      <c r="C269" s="279"/>
      <c r="D269" s="279"/>
      <c r="E269" s="280"/>
      <c r="F269" s="280"/>
      <c r="G269" s="261"/>
      <c r="H269" s="261"/>
      <c r="I269" s="280"/>
    </row>
    <row r="270" spans="2:9" s="271" customFormat="1">
      <c r="B270" s="279"/>
      <c r="C270" s="279"/>
      <c r="D270" s="279"/>
      <c r="E270" s="280"/>
      <c r="F270" s="280"/>
      <c r="G270" s="261"/>
      <c r="H270" s="261"/>
      <c r="I270" s="280"/>
    </row>
    <row r="271" spans="2:9" s="271" customFormat="1">
      <c r="B271" s="279"/>
      <c r="C271" s="279"/>
      <c r="D271" s="279"/>
      <c r="E271" s="280"/>
      <c r="F271" s="280"/>
      <c r="G271" s="261"/>
      <c r="H271" s="261"/>
      <c r="I271" s="280"/>
    </row>
    <row r="272" spans="2:9" s="271" customFormat="1">
      <c r="B272" s="279"/>
      <c r="C272" s="279"/>
      <c r="D272" s="279"/>
      <c r="E272" s="280"/>
      <c r="F272" s="280"/>
      <c r="G272" s="261"/>
      <c r="H272" s="261"/>
      <c r="I272" s="280"/>
    </row>
    <row r="273" spans="2:9" s="271" customFormat="1">
      <c r="B273" s="279"/>
      <c r="C273" s="279"/>
      <c r="D273" s="279"/>
      <c r="E273" s="280"/>
      <c r="F273" s="280"/>
      <c r="G273" s="261"/>
      <c r="H273" s="261"/>
      <c r="I273" s="280"/>
    </row>
    <row r="274" spans="2:9" s="271" customFormat="1">
      <c r="B274" s="279"/>
      <c r="C274" s="279"/>
      <c r="D274" s="279"/>
      <c r="E274" s="280"/>
      <c r="F274" s="280"/>
      <c r="G274" s="261"/>
      <c r="H274" s="261"/>
      <c r="I274" s="280"/>
    </row>
    <row r="275" spans="2:9" s="271" customFormat="1">
      <c r="B275" s="279"/>
      <c r="C275" s="279"/>
      <c r="D275" s="279"/>
      <c r="E275" s="280"/>
      <c r="F275" s="280"/>
      <c r="G275" s="261"/>
      <c r="H275" s="261"/>
      <c r="I275" s="280"/>
    </row>
    <row r="276" spans="2:9" s="271" customFormat="1">
      <c r="B276" s="279"/>
      <c r="C276" s="279"/>
      <c r="D276" s="279"/>
      <c r="E276" s="280"/>
      <c r="F276" s="280"/>
      <c r="G276" s="261"/>
      <c r="H276" s="261"/>
      <c r="I276" s="280"/>
    </row>
    <row r="277" spans="2:9" s="271" customFormat="1">
      <c r="B277" s="279"/>
      <c r="C277" s="279"/>
      <c r="D277" s="279"/>
      <c r="E277" s="280"/>
      <c r="F277" s="280"/>
      <c r="G277" s="261"/>
      <c r="H277" s="261"/>
      <c r="I277" s="280"/>
    </row>
    <row r="278" spans="2:9" s="271" customFormat="1">
      <c r="B278" s="279"/>
      <c r="C278" s="279"/>
      <c r="D278" s="279"/>
      <c r="E278" s="280"/>
      <c r="F278" s="280"/>
      <c r="G278" s="261"/>
      <c r="H278" s="261"/>
      <c r="I278" s="280"/>
    </row>
    <row r="279" spans="2:9" s="271" customFormat="1">
      <c r="B279" s="279"/>
      <c r="C279" s="279"/>
      <c r="D279" s="279"/>
      <c r="E279" s="280"/>
      <c r="F279" s="280"/>
      <c r="G279" s="261"/>
      <c r="H279" s="261"/>
      <c r="I279" s="280"/>
    </row>
    <row r="280" spans="2:9" s="271" customFormat="1">
      <c r="B280" s="279"/>
      <c r="C280" s="279"/>
      <c r="D280" s="279"/>
      <c r="E280" s="280"/>
      <c r="F280" s="280"/>
      <c r="G280" s="261"/>
      <c r="H280" s="261"/>
      <c r="I280" s="280"/>
    </row>
    <row r="281" spans="2:9" s="271" customFormat="1">
      <c r="B281" s="279"/>
      <c r="C281" s="279"/>
      <c r="D281" s="279"/>
      <c r="E281" s="280"/>
      <c r="F281" s="280"/>
      <c r="G281" s="261"/>
      <c r="H281" s="261"/>
      <c r="I281" s="280"/>
    </row>
    <row r="282" spans="2:9" s="271" customFormat="1">
      <c r="B282" s="279"/>
      <c r="C282" s="279"/>
      <c r="D282" s="279"/>
      <c r="E282" s="280"/>
      <c r="F282" s="280"/>
      <c r="G282" s="261"/>
      <c r="H282" s="261"/>
      <c r="I282" s="280"/>
    </row>
    <row r="283" spans="2:9" s="271" customFormat="1">
      <c r="B283" s="279"/>
      <c r="C283" s="279"/>
      <c r="D283" s="279"/>
      <c r="E283" s="280"/>
      <c r="F283" s="280"/>
      <c r="G283" s="261"/>
      <c r="H283" s="261"/>
      <c r="I283" s="280"/>
    </row>
    <row r="284" spans="2:9" s="271" customFormat="1">
      <c r="B284" s="279"/>
      <c r="C284" s="279"/>
      <c r="D284" s="279"/>
      <c r="E284" s="280"/>
      <c r="F284" s="280"/>
      <c r="G284" s="261"/>
      <c r="H284" s="261"/>
      <c r="I284" s="280"/>
    </row>
    <row r="285" spans="2:9" s="271" customFormat="1">
      <c r="B285" s="279"/>
      <c r="C285" s="279"/>
      <c r="D285" s="279"/>
      <c r="E285" s="280"/>
      <c r="F285" s="280"/>
      <c r="G285" s="261"/>
      <c r="H285" s="261"/>
      <c r="I285" s="280"/>
    </row>
    <row r="286" spans="2:9" s="271" customFormat="1">
      <c r="B286" s="279"/>
      <c r="C286" s="279"/>
      <c r="D286" s="279"/>
      <c r="E286" s="280"/>
      <c r="F286" s="280"/>
      <c r="G286" s="261"/>
      <c r="H286" s="261"/>
      <c r="I286" s="280"/>
    </row>
    <row r="287" spans="2:9" s="271" customFormat="1">
      <c r="B287" s="279"/>
      <c r="C287" s="279"/>
      <c r="D287" s="279"/>
      <c r="E287" s="280"/>
      <c r="F287" s="280"/>
      <c r="G287" s="261"/>
      <c r="H287" s="261"/>
      <c r="I287" s="280"/>
    </row>
    <row r="288" spans="2:9" s="271" customFormat="1">
      <c r="B288" s="279"/>
      <c r="C288" s="279"/>
      <c r="D288" s="279"/>
      <c r="E288" s="280"/>
      <c r="F288" s="280"/>
      <c r="G288" s="261"/>
      <c r="H288" s="261"/>
      <c r="I288" s="280"/>
    </row>
    <row r="289" spans="2:9" s="271" customFormat="1">
      <c r="B289" s="279"/>
      <c r="C289" s="279"/>
      <c r="D289" s="279"/>
      <c r="E289" s="280"/>
      <c r="F289" s="280"/>
      <c r="G289" s="261"/>
      <c r="H289" s="261"/>
      <c r="I289" s="280"/>
    </row>
    <row r="290" spans="2:9" s="271" customFormat="1">
      <c r="B290" s="279"/>
      <c r="C290" s="279"/>
      <c r="D290" s="279"/>
      <c r="E290" s="280"/>
      <c r="F290" s="280"/>
      <c r="G290" s="261"/>
      <c r="H290" s="261"/>
      <c r="I290" s="280"/>
    </row>
    <row r="291" spans="2:9" s="271" customFormat="1">
      <c r="B291" s="279"/>
      <c r="C291" s="279"/>
      <c r="D291" s="279"/>
      <c r="E291" s="280"/>
      <c r="F291" s="280"/>
      <c r="G291" s="261"/>
      <c r="H291" s="261"/>
      <c r="I291" s="280"/>
    </row>
    <row r="292" spans="2:9" s="271" customFormat="1">
      <c r="B292" s="279"/>
      <c r="C292" s="279"/>
      <c r="D292" s="279"/>
      <c r="E292" s="280"/>
      <c r="F292" s="280"/>
      <c r="G292" s="261"/>
      <c r="H292" s="261"/>
      <c r="I292" s="280"/>
    </row>
    <row r="293" spans="2:9" s="271" customFormat="1">
      <c r="B293" s="279"/>
      <c r="C293" s="279"/>
      <c r="D293" s="279"/>
      <c r="E293" s="280"/>
      <c r="F293" s="280"/>
      <c r="G293" s="261"/>
      <c r="H293" s="261"/>
      <c r="I293" s="280"/>
    </row>
    <row r="294" spans="2:9" s="271" customFormat="1">
      <c r="B294" s="279"/>
      <c r="C294" s="279"/>
      <c r="D294" s="279"/>
      <c r="E294" s="280"/>
      <c r="F294" s="280"/>
      <c r="G294" s="261"/>
      <c r="H294" s="261"/>
      <c r="I294" s="280"/>
    </row>
    <row r="295" spans="2:9" s="271" customFormat="1">
      <c r="B295" s="279"/>
      <c r="C295" s="279"/>
      <c r="D295" s="279"/>
      <c r="E295" s="280"/>
      <c r="F295" s="280"/>
      <c r="G295" s="261"/>
      <c r="H295" s="261"/>
      <c r="I295" s="280"/>
    </row>
    <row r="296" spans="2:9" s="271" customFormat="1">
      <c r="B296" s="279"/>
      <c r="C296" s="279"/>
      <c r="D296" s="279"/>
      <c r="E296" s="280"/>
      <c r="F296" s="280"/>
      <c r="G296" s="261"/>
      <c r="H296" s="261"/>
      <c r="I296" s="280"/>
    </row>
    <row r="297" spans="2:9" s="271" customFormat="1">
      <c r="B297" s="279"/>
      <c r="C297" s="279"/>
      <c r="D297" s="279"/>
      <c r="E297" s="280"/>
      <c r="F297" s="280"/>
      <c r="G297" s="261"/>
      <c r="H297" s="261"/>
      <c r="I297" s="280"/>
    </row>
    <row r="298" spans="2:9" s="271" customFormat="1">
      <c r="B298" s="279"/>
      <c r="C298" s="279"/>
      <c r="D298" s="279"/>
      <c r="E298" s="280"/>
      <c r="F298" s="280"/>
      <c r="G298" s="261"/>
      <c r="H298" s="261"/>
      <c r="I298" s="280"/>
    </row>
    <row r="299" spans="2:9" s="271" customFormat="1">
      <c r="B299" s="279"/>
      <c r="C299" s="279"/>
      <c r="D299" s="279"/>
      <c r="E299" s="280"/>
      <c r="F299" s="280"/>
      <c r="G299" s="261"/>
      <c r="H299" s="261"/>
      <c r="I299" s="280"/>
    </row>
    <row r="300" spans="2:9" s="271" customFormat="1">
      <c r="B300" s="279"/>
      <c r="C300" s="279"/>
      <c r="D300" s="279"/>
      <c r="E300" s="280"/>
      <c r="F300" s="280"/>
      <c r="G300" s="261"/>
      <c r="H300" s="261"/>
      <c r="I300" s="280"/>
    </row>
    <row r="301" spans="2:9" s="271" customFormat="1">
      <c r="B301" s="279"/>
      <c r="C301" s="279"/>
      <c r="D301" s="279"/>
      <c r="E301" s="280"/>
      <c r="F301" s="280"/>
      <c r="G301" s="261"/>
      <c r="H301" s="261"/>
      <c r="I301" s="280"/>
    </row>
    <row r="302" spans="2:9" s="271" customFormat="1">
      <c r="B302" s="279"/>
      <c r="C302" s="279"/>
      <c r="D302" s="279"/>
      <c r="E302" s="280"/>
      <c r="F302" s="280"/>
      <c r="G302" s="261"/>
      <c r="H302" s="261"/>
      <c r="I302" s="280"/>
    </row>
    <row r="303" spans="2:9" s="271" customFormat="1">
      <c r="B303" s="279"/>
      <c r="C303" s="279"/>
      <c r="D303" s="279"/>
      <c r="E303" s="280"/>
      <c r="F303" s="280"/>
      <c r="G303" s="261"/>
      <c r="H303" s="261"/>
      <c r="I303" s="280"/>
    </row>
    <row r="304" spans="2:9" s="271" customFormat="1">
      <c r="B304" s="279"/>
      <c r="C304" s="279"/>
      <c r="D304" s="279"/>
      <c r="E304" s="280"/>
      <c r="F304" s="280"/>
      <c r="G304" s="261"/>
      <c r="H304" s="261"/>
      <c r="I304" s="280"/>
    </row>
    <row r="305" spans="2:9" s="271" customFormat="1">
      <c r="B305" s="279"/>
      <c r="C305" s="279"/>
      <c r="D305" s="279"/>
      <c r="E305" s="280"/>
      <c r="F305" s="280"/>
      <c r="G305" s="261"/>
      <c r="H305" s="261"/>
      <c r="I305" s="280"/>
    </row>
    <row r="306" spans="2:9" s="271" customFormat="1">
      <c r="B306" s="279"/>
      <c r="C306" s="279"/>
      <c r="D306" s="279"/>
      <c r="E306" s="280"/>
      <c r="F306" s="280"/>
      <c r="G306" s="261"/>
      <c r="H306" s="261"/>
      <c r="I306" s="280"/>
    </row>
    <row r="307" spans="2:9" s="271" customFormat="1">
      <c r="B307" s="279"/>
      <c r="C307" s="279"/>
      <c r="D307" s="279"/>
      <c r="E307" s="280"/>
      <c r="F307" s="280"/>
      <c r="G307" s="261"/>
      <c r="H307" s="261"/>
      <c r="I307" s="280"/>
    </row>
    <row r="308" spans="2:9" s="271" customFormat="1">
      <c r="B308" s="279"/>
      <c r="C308" s="279"/>
      <c r="D308" s="279"/>
      <c r="E308" s="280"/>
      <c r="F308" s="280"/>
      <c r="G308" s="261"/>
      <c r="H308" s="261"/>
      <c r="I308" s="280"/>
    </row>
    <row r="309" spans="2:9" s="271" customFormat="1">
      <c r="B309" s="279"/>
      <c r="C309" s="279"/>
      <c r="D309" s="279"/>
      <c r="E309" s="280"/>
      <c r="F309" s="280"/>
      <c r="G309" s="261"/>
      <c r="H309" s="261"/>
      <c r="I309" s="280"/>
    </row>
    <row r="310" spans="2:9" s="271" customFormat="1">
      <c r="B310" s="279"/>
      <c r="C310" s="279"/>
      <c r="D310" s="279"/>
      <c r="E310" s="280"/>
      <c r="F310" s="280"/>
      <c r="G310" s="261"/>
      <c r="H310" s="261"/>
      <c r="I310" s="280"/>
    </row>
    <row r="311" spans="2:9" s="271" customFormat="1">
      <c r="B311" s="279"/>
      <c r="C311" s="279"/>
      <c r="D311" s="279"/>
      <c r="E311" s="280"/>
      <c r="F311" s="280"/>
      <c r="G311" s="261"/>
      <c r="H311" s="261"/>
      <c r="I311" s="280"/>
    </row>
    <row r="312" spans="2:9" s="271" customFormat="1">
      <c r="B312" s="279"/>
      <c r="C312" s="279"/>
      <c r="D312" s="279"/>
      <c r="E312" s="280"/>
      <c r="F312" s="280"/>
      <c r="G312" s="261"/>
      <c r="H312" s="261"/>
      <c r="I312" s="280"/>
    </row>
    <row r="313" spans="2:9" s="271" customFormat="1">
      <c r="B313" s="279"/>
      <c r="C313" s="279"/>
      <c r="D313" s="279"/>
      <c r="E313" s="280"/>
      <c r="F313" s="280"/>
      <c r="G313" s="261"/>
      <c r="H313" s="261"/>
      <c r="I313" s="280"/>
    </row>
    <row r="314" spans="2:9" s="271" customFormat="1">
      <c r="B314" s="279"/>
      <c r="C314" s="279"/>
      <c r="D314" s="279"/>
      <c r="E314" s="280"/>
      <c r="F314" s="280"/>
      <c r="G314" s="261"/>
      <c r="H314" s="261"/>
      <c r="I314" s="280"/>
    </row>
    <row r="315" spans="2:9" s="271" customFormat="1">
      <c r="B315" s="279"/>
      <c r="C315" s="279"/>
      <c r="D315" s="279"/>
      <c r="E315" s="280"/>
      <c r="F315" s="280"/>
      <c r="G315" s="261"/>
      <c r="H315" s="261"/>
      <c r="I315" s="280"/>
    </row>
    <row r="316" spans="2:9" s="271" customFormat="1">
      <c r="B316" s="279"/>
      <c r="C316" s="279"/>
      <c r="D316" s="279"/>
      <c r="E316" s="280"/>
      <c r="F316" s="280"/>
      <c r="G316" s="261"/>
      <c r="H316" s="261"/>
      <c r="I316" s="280"/>
    </row>
    <row r="317" spans="2:9" s="271" customFormat="1">
      <c r="B317" s="279"/>
      <c r="C317" s="279"/>
      <c r="D317" s="279"/>
      <c r="E317" s="280"/>
      <c r="F317" s="280"/>
      <c r="G317" s="261"/>
      <c r="H317" s="261"/>
      <c r="I317" s="280"/>
    </row>
    <row r="318" spans="2:9" s="271" customFormat="1">
      <c r="B318" s="279"/>
      <c r="C318" s="279"/>
      <c r="D318" s="279"/>
      <c r="E318" s="280"/>
      <c r="F318" s="280"/>
      <c r="G318" s="261"/>
      <c r="H318" s="261"/>
      <c r="I318" s="280"/>
    </row>
    <row r="319" spans="2:9" s="271" customFormat="1">
      <c r="B319" s="279"/>
      <c r="C319" s="279"/>
      <c r="D319" s="279"/>
      <c r="E319" s="280"/>
      <c r="F319" s="280"/>
      <c r="G319" s="261"/>
      <c r="H319" s="261"/>
      <c r="I319" s="280"/>
    </row>
    <row r="320" spans="2:9" s="271" customFormat="1">
      <c r="B320" s="279"/>
      <c r="C320" s="279"/>
      <c r="D320" s="279"/>
      <c r="E320" s="280"/>
      <c r="F320" s="280"/>
      <c r="G320" s="261"/>
      <c r="H320" s="261"/>
      <c r="I320" s="280"/>
    </row>
    <row r="321" spans="2:9" s="271" customFormat="1">
      <c r="B321" s="279"/>
      <c r="C321" s="279"/>
      <c r="D321" s="279"/>
      <c r="E321" s="280"/>
      <c r="F321" s="280"/>
      <c r="G321" s="261"/>
      <c r="H321" s="261"/>
      <c r="I321" s="280"/>
    </row>
    <row r="322" spans="2:9" s="271" customFormat="1">
      <c r="B322" s="279"/>
      <c r="C322" s="279"/>
      <c r="D322" s="279"/>
      <c r="E322" s="280"/>
      <c r="F322" s="280"/>
      <c r="G322" s="261"/>
      <c r="H322" s="261"/>
      <c r="I322" s="280"/>
    </row>
    <row r="323" spans="2:9" s="271" customFormat="1">
      <c r="B323" s="279"/>
      <c r="C323" s="279"/>
      <c r="D323" s="279"/>
      <c r="E323" s="280"/>
      <c r="F323" s="280"/>
      <c r="G323" s="261"/>
      <c r="H323" s="261"/>
      <c r="I323" s="280"/>
    </row>
    <row r="324" spans="2:9" s="271" customFormat="1">
      <c r="B324" s="279"/>
      <c r="C324" s="279"/>
      <c r="D324" s="279"/>
      <c r="E324" s="280"/>
      <c r="F324" s="280"/>
      <c r="G324" s="261"/>
      <c r="H324" s="261"/>
      <c r="I324" s="280"/>
    </row>
    <row r="325" spans="2:9" s="271" customFormat="1">
      <c r="B325" s="279"/>
      <c r="C325" s="279"/>
      <c r="D325" s="279"/>
      <c r="E325" s="280"/>
      <c r="F325" s="280"/>
      <c r="G325" s="261"/>
      <c r="H325" s="261"/>
      <c r="I325" s="280"/>
    </row>
    <row r="326" spans="2:9" s="271" customFormat="1">
      <c r="B326" s="279"/>
      <c r="C326" s="279"/>
      <c r="D326" s="279"/>
      <c r="E326" s="280"/>
      <c r="F326" s="280"/>
      <c r="G326" s="261"/>
      <c r="H326" s="261"/>
      <c r="I326" s="280"/>
    </row>
    <row r="327" spans="2:9" s="271" customFormat="1">
      <c r="B327" s="279"/>
      <c r="C327" s="279"/>
      <c r="D327" s="279"/>
      <c r="E327" s="280"/>
      <c r="F327" s="280"/>
      <c r="G327" s="261"/>
      <c r="H327" s="261"/>
      <c r="I327" s="280"/>
    </row>
    <row r="328" spans="2:9" s="271" customFormat="1">
      <c r="B328" s="279"/>
      <c r="C328" s="279"/>
      <c r="D328" s="279"/>
      <c r="E328" s="280"/>
      <c r="F328" s="280"/>
      <c r="G328" s="261"/>
      <c r="H328" s="261"/>
      <c r="I328" s="280"/>
    </row>
    <row r="329" spans="2:9" s="271" customFormat="1">
      <c r="B329" s="279"/>
      <c r="C329" s="279"/>
      <c r="D329" s="279"/>
      <c r="E329" s="280"/>
      <c r="F329" s="280"/>
      <c r="G329" s="261"/>
      <c r="H329" s="261"/>
      <c r="I329" s="280"/>
    </row>
    <row r="330" spans="2:9" s="271" customFormat="1">
      <c r="B330" s="279"/>
      <c r="C330" s="279"/>
      <c r="D330" s="279"/>
      <c r="E330" s="280"/>
      <c r="F330" s="280"/>
      <c r="G330" s="261"/>
      <c r="H330" s="261"/>
      <c r="I330" s="280"/>
    </row>
    <row r="331" spans="2:9" s="271" customFormat="1">
      <c r="B331" s="279"/>
      <c r="C331" s="279"/>
      <c r="D331" s="279"/>
      <c r="E331" s="280"/>
      <c r="F331" s="280"/>
      <c r="G331" s="261"/>
      <c r="H331" s="261"/>
      <c r="I331" s="280"/>
    </row>
    <row r="332" spans="2:9" s="271" customFormat="1">
      <c r="B332" s="279"/>
      <c r="C332" s="279"/>
      <c r="D332" s="279"/>
      <c r="E332" s="280"/>
      <c r="F332" s="280"/>
      <c r="G332" s="261"/>
      <c r="H332" s="261"/>
      <c r="I332" s="280"/>
    </row>
    <row r="333" spans="2:9" s="271" customFormat="1">
      <c r="B333" s="279"/>
      <c r="C333" s="279"/>
      <c r="D333" s="279"/>
      <c r="E333" s="280"/>
      <c r="F333" s="280"/>
      <c r="G333" s="261"/>
      <c r="H333" s="261"/>
      <c r="I333" s="280"/>
    </row>
    <row r="334" spans="2:9" s="271" customFormat="1">
      <c r="B334" s="279"/>
      <c r="C334" s="279"/>
      <c r="D334" s="279"/>
      <c r="E334" s="280"/>
      <c r="F334" s="280"/>
      <c r="G334" s="261"/>
      <c r="H334" s="261"/>
      <c r="I334" s="280"/>
    </row>
    <row r="335" spans="2:9" s="271" customFormat="1">
      <c r="B335" s="279"/>
      <c r="C335" s="279"/>
      <c r="D335" s="279"/>
      <c r="E335" s="280"/>
      <c r="F335" s="280"/>
      <c r="G335" s="261"/>
      <c r="H335" s="261"/>
      <c r="I335" s="280"/>
    </row>
    <row r="336" spans="2:9" s="271" customFormat="1">
      <c r="B336" s="279"/>
      <c r="C336" s="279"/>
      <c r="D336" s="279"/>
      <c r="E336" s="280"/>
      <c r="F336" s="280"/>
      <c r="G336" s="261"/>
      <c r="H336" s="261"/>
      <c r="I336" s="280"/>
    </row>
    <row r="337" spans="2:9" s="271" customFormat="1">
      <c r="B337" s="279"/>
      <c r="C337" s="279"/>
      <c r="D337" s="279"/>
      <c r="E337" s="280"/>
      <c r="F337" s="280"/>
      <c r="G337" s="261"/>
      <c r="H337" s="261"/>
      <c r="I337" s="280"/>
    </row>
    <row r="338" spans="2:9" s="271" customFormat="1">
      <c r="B338" s="279"/>
      <c r="C338" s="279"/>
      <c r="D338" s="279"/>
      <c r="E338" s="280"/>
      <c r="F338" s="280"/>
      <c r="G338" s="261"/>
      <c r="H338" s="261"/>
      <c r="I338" s="280"/>
    </row>
    <row r="339" spans="2:9" s="271" customFormat="1">
      <c r="B339" s="279"/>
      <c r="C339" s="279"/>
      <c r="D339" s="279"/>
      <c r="E339" s="280"/>
      <c r="F339" s="280"/>
      <c r="G339" s="261"/>
      <c r="H339" s="261"/>
      <c r="I339" s="280"/>
    </row>
    <row r="340" spans="2:9" s="271" customFormat="1">
      <c r="B340" s="279"/>
      <c r="C340" s="279"/>
      <c r="D340" s="279"/>
      <c r="E340" s="280"/>
      <c r="F340" s="280"/>
      <c r="G340" s="261"/>
      <c r="H340" s="261"/>
      <c r="I340" s="280"/>
    </row>
    <row r="341" spans="2:9" s="271" customFormat="1">
      <c r="B341" s="279"/>
      <c r="C341" s="279"/>
      <c r="D341" s="279"/>
      <c r="E341" s="280"/>
      <c r="F341" s="280"/>
      <c r="G341" s="261"/>
      <c r="H341" s="261"/>
      <c r="I341" s="280"/>
    </row>
    <row r="342" spans="2:9" s="271" customFormat="1">
      <c r="B342" s="279"/>
      <c r="C342" s="279"/>
      <c r="D342" s="279"/>
      <c r="E342" s="280"/>
      <c r="F342" s="280"/>
      <c r="G342" s="261"/>
      <c r="H342" s="261"/>
      <c r="I342" s="280"/>
    </row>
    <row r="343" spans="2:9" s="271" customFormat="1">
      <c r="B343" s="279"/>
      <c r="C343" s="279"/>
      <c r="D343" s="279"/>
      <c r="E343" s="280"/>
      <c r="F343" s="280"/>
      <c r="G343" s="261"/>
      <c r="H343" s="261"/>
      <c r="I343" s="280"/>
    </row>
    <row r="344" spans="2:9" s="271" customFormat="1">
      <c r="B344" s="279"/>
      <c r="C344" s="279"/>
      <c r="D344" s="279"/>
      <c r="E344" s="280"/>
      <c r="F344" s="280"/>
      <c r="G344" s="261"/>
      <c r="H344" s="261"/>
      <c r="I344" s="280"/>
    </row>
    <row r="345" spans="2:9" s="271" customFormat="1">
      <c r="B345" s="279"/>
      <c r="C345" s="279"/>
      <c r="D345" s="279"/>
      <c r="E345" s="280"/>
      <c r="F345" s="280"/>
      <c r="G345" s="261"/>
      <c r="H345" s="261"/>
      <c r="I345" s="280"/>
    </row>
    <row r="346" spans="2:9" s="271" customFormat="1">
      <c r="B346" s="279"/>
      <c r="C346" s="279"/>
      <c r="D346" s="279"/>
      <c r="E346" s="280"/>
      <c r="F346" s="280"/>
      <c r="G346" s="261"/>
      <c r="H346" s="261"/>
      <c r="I346" s="280"/>
    </row>
    <row r="347" spans="2:9" s="271" customFormat="1">
      <c r="B347" s="279"/>
      <c r="C347" s="279"/>
      <c r="D347" s="279"/>
      <c r="E347" s="280"/>
      <c r="F347" s="280"/>
      <c r="G347" s="261"/>
      <c r="H347" s="261"/>
      <c r="I347" s="280"/>
    </row>
    <row r="348" spans="2:9" s="271" customFormat="1">
      <c r="B348" s="279"/>
      <c r="C348" s="279"/>
      <c r="D348" s="279"/>
      <c r="E348" s="280"/>
      <c r="F348" s="280"/>
      <c r="G348" s="261"/>
      <c r="H348" s="261"/>
      <c r="I348" s="280"/>
    </row>
    <row r="349" spans="2:9" s="271" customFormat="1">
      <c r="B349" s="279"/>
      <c r="C349" s="279"/>
      <c r="D349" s="279"/>
      <c r="E349" s="280"/>
      <c r="F349" s="280"/>
      <c r="G349" s="261"/>
      <c r="H349" s="261"/>
      <c r="I349" s="280"/>
    </row>
    <row r="350" spans="2:9" s="271" customFormat="1">
      <c r="B350" s="279"/>
      <c r="C350" s="279"/>
      <c r="D350" s="279"/>
      <c r="E350" s="280"/>
      <c r="F350" s="280"/>
      <c r="G350" s="261"/>
      <c r="H350" s="261"/>
      <c r="I350" s="280"/>
    </row>
    <row r="351" spans="2:9" s="271" customFormat="1">
      <c r="B351" s="279"/>
      <c r="C351" s="279"/>
      <c r="D351" s="279"/>
      <c r="E351" s="280"/>
      <c r="F351" s="280"/>
      <c r="G351" s="261"/>
      <c r="H351" s="261"/>
      <c r="I351" s="280"/>
    </row>
    <row r="352" spans="2:9" s="271" customFormat="1">
      <c r="B352" s="279"/>
      <c r="C352" s="279"/>
      <c r="D352" s="279"/>
      <c r="E352" s="280"/>
      <c r="F352" s="280"/>
      <c r="G352" s="261"/>
      <c r="H352" s="261"/>
      <c r="I352" s="280"/>
    </row>
    <row r="353" spans="2:9" s="271" customFormat="1">
      <c r="B353" s="279"/>
      <c r="C353" s="279"/>
      <c r="D353" s="279"/>
      <c r="E353" s="280"/>
      <c r="F353" s="280"/>
      <c r="G353" s="261"/>
      <c r="H353" s="261"/>
      <c r="I353" s="280"/>
    </row>
    <row r="354" spans="2:9" s="271" customFormat="1">
      <c r="B354" s="279"/>
      <c r="C354" s="279"/>
      <c r="D354" s="279"/>
      <c r="E354" s="280"/>
      <c r="F354" s="280"/>
      <c r="G354" s="261"/>
      <c r="H354" s="261"/>
      <c r="I354" s="280"/>
    </row>
    <row r="355" spans="2:9" s="271" customFormat="1">
      <c r="B355" s="279"/>
      <c r="C355" s="279"/>
      <c r="D355" s="279"/>
      <c r="E355" s="280"/>
      <c r="F355" s="280"/>
      <c r="G355" s="261"/>
      <c r="H355" s="261"/>
      <c r="I355" s="280"/>
    </row>
    <row r="356" spans="2:9" s="271" customFormat="1">
      <c r="B356" s="279"/>
      <c r="C356" s="279"/>
      <c r="D356" s="279"/>
      <c r="E356" s="280"/>
      <c r="F356" s="280"/>
      <c r="G356" s="261"/>
      <c r="H356" s="261"/>
      <c r="I356" s="280"/>
    </row>
    <row r="357" spans="2:9" s="271" customFormat="1">
      <c r="B357" s="279"/>
      <c r="C357" s="279"/>
      <c r="D357" s="279"/>
      <c r="E357" s="280"/>
      <c r="F357" s="280"/>
      <c r="G357" s="261"/>
      <c r="H357" s="261"/>
      <c r="I357" s="280"/>
    </row>
    <row r="358" spans="2:9" s="271" customFormat="1">
      <c r="B358" s="279"/>
      <c r="C358" s="279"/>
      <c r="D358" s="279"/>
      <c r="E358" s="280"/>
      <c r="F358" s="280"/>
      <c r="G358" s="261"/>
      <c r="H358" s="261"/>
      <c r="I358" s="280"/>
    </row>
    <row r="359" spans="2:9" s="271" customFormat="1">
      <c r="B359" s="279"/>
      <c r="C359" s="279"/>
      <c r="D359" s="279"/>
      <c r="E359" s="280"/>
      <c r="F359" s="280"/>
      <c r="G359" s="261"/>
      <c r="H359" s="261"/>
      <c r="I359" s="280"/>
    </row>
    <row r="360" spans="2:9" s="271" customFormat="1">
      <c r="B360" s="279"/>
      <c r="C360" s="279"/>
      <c r="D360" s="279"/>
      <c r="E360" s="280"/>
      <c r="F360" s="280"/>
      <c r="G360" s="261"/>
      <c r="H360" s="261"/>
      <c r="I360" s="280"/>
    </row>
    <row r="361" spans="2:9" s="271" customFormat="1">
      <c r="B361" s="279"/>
      <c r="C361" s="279"/>
      <c r="D361" s="279"/>
      <c r="E361" s="280"/>
      <c r="F361" s="280"/>
      <c r="G361" s="261"/>
      <c r="H361" s="261"/>
      <c r="I361" s="280"/>
    </row>
    <row r="362" spans="2:9" s="271" customFormat="1">
      <c r="B362" s="279"/>
      <c r="C362" s="279"/>
      <c r="D362" s="279"/>
      <c r="E362" s="280"/>
      <c r="F362" s="280"/>
      <c r="G362" s="261"/>
      <c r="H362" s="261"/>
      <c r="I362" s="280"/>
    </row>
    <row r="363" spans="2:9" s="271" customFormat="1">
      <c r="B363" s="279"/>
      <c r="C363" s="279"/>
      <c r="D363" s="279"/>
      <c r="E363" s="280"/>
      <c r="F363" s="280"/>
      <c r="G363" s="261"/>
      <c r="H363" s="261"/>
      <c r="I363" s="280"/>
    </row>
    <row r="364" spans="2:9" s="271" customFormat="1">
      <c r="B364" s="279"/>
      <c r="C364" s="279"/>
      <c r="D364" s="279"/>
      <c r="E364" s="280"/>
      <c r="F364" s="280"/>
      <c r="G364" s="261"/>
      <c r="H364" s="261"/>
      <c r="I364" s="280"/>
    </row>
    <row r="365" spans="2:9" s="271" customFormat="1">
      <c r="B365" s="279"/>
      <c r="C365" s="279"/>
      <c r="D365" s="279"/>
      <c r="E365" s="280"/>
      <c r="F365" s="280"/>
      <c r="G365" s="261"/>
      <c r="H365" s="261"/>
      <c r="I365" s="280"/>
    </row>
    <row r="366" spans="2:9">
      <c r="E366" s="253"/>
      <c r="F366" s="253"/>
      <c r="I366" s="253"/>
    </row>
    <row r="367" spans="2:9">
      <c r="E367" s="253"/>
      <c r="F367" s="253"/>
      <c r="I367" s="253"/>
    </row>
    <row r="368" spans="2:9">
      <c r="E368" s="253"/>
      <c r="F368" s="253"/>
      <c r="I368" s="253"/>
    </row>
    <row r="369" spans="5:9">
      <c r="E369" s="253"/>
      <c r="F369" s="253"/>
      <c r="I369" s="253"/>
    </row>
    <row r="370" spans="5:9">
      <c r="E370" s="253"/>
      <c r="F370" s="253"/>
      <c r="I370" s="253"/>
    </row>
    <row r="371" spans="5:9">
      <c r="E371" s="253"/>
      <c r="F371" s="253"/>
      <c r="I371" s="253"/>
    </row>
    <row r="372" spans="5:9">
      <c r="E372" s="253"/>
      <c r="F372" s="253"/>
      <c r="I372" s="253"/>
    </row>
    <row r="373" spans="5:9">
      <c r="E373" s="253"/>
      <c r="F373" s="253"/>
      <c r="I373" s="253"/>
    </row>
    <row r="374" spans="5:9">
      <c r="E374" s="253"/>
      <c r="F374" s="253"/>
      <c r="I374" s="253"/>
    </row>
    <row r="375" spans="5:9">
      <c r="E375" s="253"/>
      <c r="F375" s="253"/>
      <c r="I375" s="253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127"/>
  <sheetViews>
    <sheetView workbookViewId="0">
      <selection activeCell="L3" sqref="L3"/>
    </sheetView>
  </sheetViews>
  <sheetFormatPr defaultRowHeight="13.2"/>
  <cols>
    <col min="2" max="4" width="16.6640625" bestFit="1" customWidth="1"/>
    <col min="5" max="5" width="19.33203125" bestFit="1" customWidth="1"/>
    <col min="6" max="6" width="15.6640625" bestFit="1" customWidth="1"/>
    <col min="7" max="7" width="14.109375" bestFit="1" customWidth="1"/>
    <col min="8" max="8" width="16.6640625" bestFit="1" customWidth="1"/>
    <col min="9" max="20" width="15.6640625" bestFit="1" customWidth="1"/>
    <col min="24" max="24" width="16.6640625" bestFit="1" customWidth="1"/>
  </cols>
  <sheetData>
    <row r="1" spans="1:24">
      <c r="C1" s="200">
        <v>20000000</v>
      </c>
    </row>
    <row r="2" spans="1:24">
      <c r="C2" s="372">
        <f>6.87%+2%</f>
        <v>8.8700000000000001E-2</v>
      </c>
      <c r="J2">
        <v>2021</v>
      </c>
      <c r="K2">
        <f>J2+1</f>
        <v>2022</v>
      </c>
      <c r="L2">
        <f t="shared" ref="L2:T2" si="0">K2+1</f>
        <v>2023</v>
      </c>
      <c r="M2">
        <f t="shared" si="0"/>
        <v>2024</v>
      </c>
      <c r="N2">
        <f t="shared" si="0"/>
        <v>2025</v>
      </c>
      <c r="O2">
        <f t="shared" si="0"/>
        <v>2026</v>
      </c>
      <c r="P2">
        <f t="shared" si="0"/>
        <v>2027</v>
      </c>
      <c r="Q2">
        <f t="shared" si="0"/>
        <v>2028</v>
      </c>
      <c r="R2">
        <f t="shared" si="0"/>
        <v>2029</v>
      </c>
      <c r="S2">
        <f t="shared" si="0"/>
        <v>2030</v>
      </c>
      <c r="T2">
        <f t="shared" si="0"/>
        <v>2031</v>
      </c>
    </row>
    <row r="3" spans="1:24">
      <c r="I3" t="s">
        <v>58</v>
      </c>
      <c r="J3" s="200"/>
      <c r="K3" s="200">
        <f>H22</f>
        <v>925926</v>
      </c>
      <c r="L3" s="200">
        <f>H34</f>
        <v>2222222</v>
      </c>
      <c r="M3" s="200">
        <f>H46</f>
        <v>2222222</v>
      </c>
      <c r="N3" s="200">
        <f>H58</f>
        <v>2222222</v>
      </c>
      <c r="O3" s="200">
        <f>H70</f>
        <v>2222222</v>
      </c>
      <c r="P3" s="200">
        <f>H82</f>
        <v>2222222</v>
      </c>
      <c r="Q3" s="200">
        <f>H94</f>
        <v>2222222</v>
      </c>
      <c r="R3" s="200">
        <f>H106</f>
        <v>2222222</v>
      </c>
      <c r="S3" s="200">
        <f>H118</f>
        <v>2222222</v>
      </c>
      <c r="T3" s="200">
        <f>H124</f>
        <v>1296298</v>
      </c>
      <c r="U3" s="200"/>
      <c r="V3" s="200"/>
      <c r="W3" s="200"/>
      <c r="X3" s="200">
        <f>SUM(K3:W3)</f>
        <v>20000000</v>
      </c>
    </row>
    <row r="4" spans="1:24">
      <c r="B4" s="364" t="s">
        <v>171</v>
      </c>
      <c r="C4" s="364" t="s">
        <v>172</v>
      </c>
      <c r="D4" s="364" t="s">
        <v>173</v>
      </c>
      <c r="E4" s="364" t="s">
        <v>174</v>
      </c>
      <c r="F4" s="364" t="s">
        <v>20</v>
      </c>
      <c r="G4" s="365" t="s">
        <v>57</v>
      </c>
      <c r="H4" s="366"/>
      <c r="I4" s="200" t="s">
        <v>20</v>
      </c>
      <c r="J4" s="200">
        <f>I10</f>
        <v>116551.8</v>
      </c>
      <c r="K4" s="200">
        <f>I22</f>
        <v>1630394.7073916667</v>
      </c>
      <c r="L4" s="200">
        <f>I34</f>
        <v>1590577.1739083331</v>
      </c>
      <c r="M4" s="200">
        <f>I46</f>
        <v>1393466.0825083335</v>
      </c>
      <c r="N4" s="200">
        <f>I58</f>
        <v>1196354.9911083332</v>
      </c>
      <c r="O4" s="200">
        <f>I70</f>
        <v>999243.89970833331</v>
      </c>
      <c r="P4" s="200">
        <f>I82</f>
        <v>802132.80830833327</v>
      </c>
      <c r="Q4" s="200">
        <f>I94</f>
        <v>605021.71690833336</v>
      </c>
      <c r="R4" s="200">
        <f>I106</f>
        <v>407910.62550833332</v>
      </c>
      <c r="S4" s="200">
        <f>I118</f>
        <v>210799.53410833329</v>
      </c>
      <c r="T4" s="200">
        <f>I124</f>
        <v>32167.513283333334</v>
      </c>
      <c r="U4" s="200"/>
      <c r="V4" s="200"/>
      <c r="W4" s="200"/>
      <c r="X4" s="200">
        <f>SUM(J4:W4)</f>
        <v>8984620.8527416643</v>
      </c>
    </row>
    <row r="5" spans="1:24">
      <c r="A5">
        <v>1</v>
      </c>
      <c r="B5" s="200">
        <v>0</v>
      </c>
      <c r="C5" s="200"/>
      <c r="D5" s="200"/>
      <c r="E5" s="200">
        <f>C5</f>
        <v>0</v>
      </c>
      <c r="F5" s="200">
        <f>E5*$C$2*30/360</f>
        <v>0</v>
      </c>
      <c r="G5" s="200">
        <f>C1*0.75%</f>
        <v>150000</v>
      </c>
      <c r="H5" s="200"/>
      <c r="I5" s="200" t="s">
        <v>175</v>
      </c>
      <c r="J5" s="200">
        <f>G5</f>
        <v>150000</v>
      </c>
      <c r="U5" s="200"/>
      <c r="V5" s="200"/>
      <c r="W5" s="200"/>
      <c r="X5" s="200">
        <f>SUM(J5:W5)</f>
        <v>150000</v>
      </c>
    </row>
    <row r="6" spans="1:24">
      <c r="A6">
        <v>2</v>
      </c>
      <c r="B6" s="200">
        <f>C5</f>
        <v>0</v>
      </c>
      <c r="C6" s="200"/>
      <c r="D6" s="200"/>
      <c r="E6" s="200">
        <f>E5+C6</f>
        <v>0</v>
      </c>
      <c r="F6" s="200">
        <f t="shared" ref="F6:F16" si="1">E6*$C$2*30/360</f>
        <v>0</v>
      </c>
      <c r="G6" s="200"/>
      <c r="H6" s="200"/>
      <c r="I6" s="200"/>
    </row>
    <row r="7" spans="1:24">
      <c r="A7">
        <f>A6+1</f>
        <v>3</v>
      </c>
      <c r="B7" s="200">
        <f>B6+C6</f>
        <v>0</v>
      </c>
      <c r="C7" s="200"/>
      <c r="D7" s="200"/>
      <c r="E7" s="200">
        <f t="shared" ref="E7:E16" si="2">E6+C7</f>
        <v>0</v>
      </c>
      <c r="F7" s="200">
        <f t="shared" si="1"/>
        <v>0</v>
      </c>
      <c r="G7" s="200"/>
      <c r="H7" s="200"/>
      <c r="I7" s="200"/>
    </row>
    <row r="8" spans="1:24">
      <c r="A8">
        <f t="shared" ref="A8:A71" si="3">A7+1</f>
        <v>4</v>
      </c>
      <c r="B8" s="200">
        <f t="shared" ref="B8:B11" si="4">B7+C7</f>
        <v>0</v>
      </c>
      <c r="C8" s="200"/>
      <c r="D8" s="200"/>
      <c r="E8" s="200">
        <f t="shared" si="2"/>
        <v>0</v>
      </c>
      <c r="F8" s="200">
        <f t="shared" si="1"/>
        <v>0</v>
      </c>
      <c r="G8" s="200"/>
      <c r="H8" s="200"/>
    </row>
    <row r="9" spans="1:24">
      <c r="A9">
        <f t="shared" si="3"/>
        <v>5</v>
      </c>
      <c r="B9" s="200">
        <f t="shared" si="4"/>
        <v>0</v>
      </c>
      <c r="C9" s="200"/>
      <c r="D9" s="200"/>
      <c r="E9" s="200">
        <f t="shared" si="2"/>
        <v>0</v>
      </c>
      <c r="F9" s="200">
        <f t="shared" si="1"/>
        <v>0</v>
      </c>
      <c r="G9" s="200"/>
      <c r="H9" s="200"/>
    </row>
    <row r="10" spans="1:24" s="173" customFormat="1">
      <c r="A10" s="173">
        <f t="shared" si="3"/>
        <v>6</v>
      </c>
      <c r="B10" s="203">
        <f>B9+C9</f>
        <v>0</v>
      </c>
      <c r="C10" s="203">
        <f>7884000*2</f>
        <v>15768000</v>
      </c>
      <c r="D10" s="203"/>
      <c r="E10" s="203">
        <f t="shared" si="2"/>
        <v>15768000</v>
      </c>
      <c r="F10" s="203">
        <f t="shared" si="1"/>
        <v>116551.8</v>
      </c>
      <c r="G10" s="203"/>
      <c r="H10" s="203">
        <f>SUM(D5:D10)</f>
        <v>0</v>
      </c>
      <c r="I10" s="203">
        <f>SUM(F5:F10)</f>
        <v>116551.8</v>
      </c>
    </row>
    <row r="11" spans="1:24">
      <c r="A11">
        <f t="shared" si="3"/>
        <v>7</v>
      </c>
      <c r="B11" s="200">
        <f t="shared" si="4"/>
        <v>15768000</v>
      </c>
      <c r="C11" s="200"/>
      <c r="D11" s="200"/>
      <c r="E11" s="200">
        <f t="shared" si="2"/>
        <v>15768000</v>
      </c>
      <c r="F11" s="200">
        <f t="shared" si="1"/>
        <v>116551.8</v>
      </c>
      <c r="G11" s="200"/>
      <c r="H11" s="200"/>
      <c r="I11" s="200"/>
    </row>
    <row r="12" spans="1:24">
      <c r="A12">
        <f t="shared" si="3"/>
        <v>8</v>
      </c>
      <c r="B12" s="200"/>
      <c r="C12" s="200"/>
      <c r="D12" s="200"/>
      <c r="E12" s="200">
        <f t="shared" si="2"/>
        <v>15768000</v>
      </c>
      <c r="F12" s="200">
        <f t="shared" si="1"/>
        <v>116551.8</v>
      </c>
      <c r="G12" s="200"/>
      <c r="H12" s="200"/>
      <c r="I12" s="200"/>
    </row>
    <row r="13" spans="1:24">
      <c r="A13">
        <f t="shared" si="3"/>
        <v>9</v>
      </c>
      <c r="B13" s="200"/>
      <c r="C13" s="200"/>
      <c r="D13" s="200"/>
      <c r="E13" s="200">
        <f t="shared" si="2"/>
        <v>15768000</v>
      </c>
      <c r="F13" s="200">
        <f t="shared" si="1"/>
        <v>116551.8</v>
      </c>
      <c r="G13" s="200"/>
      <c r="H13" s="200"/>
      <c r="I13" s="200"/>
    </row>
    <row r="14" spans="1:24">
      <c r="A14">
        <f t="shared" si="3"/>
        <v>10</v>
      </c>
      <c r="B14" s="200"/>
      <c r="C14" s="200"/>
      <c r="D14" s="200"/>
      <c r="E14" s="200">
        <f t="shared" si="2"/>
        <v>15768000</v>
      </c>
      <c r="F14" s="200">
        <f t="shared" si="1"/>
        <v>116551.8</v>
      </c>
      <c r="G14" s="200"/>
      <c r="H14" s="200"/>
      <c r="I14" s="200"/>
    </row>
    <row r="15" spans="1:24">
      <c r="A15">
        <f t="shared" si="3"/>
        <v>11</v>
      </c>
      <c r="B15" s="200">
        <v>20000000</v>
      </c>
      <c r="C15" s="200">
        <f>20000000-15768000</f>
        <v>4232000</v>
      </c>
      <c r="D15" s="200"/>
      <c r="E15" s="200">
        <f t="shared" si="2"/>
        <v>20000000</v>
      </c>
      <c r="F15" s="200">
        <f t="shared" si="1"/>
        <v>147833.33333333334</v>
      </c>
      <c r="G15" s="200"/>
      <c r="H15" s="200"/>
      <c r="I15" s="200"/>
    </row>
    <row r="16" spans="1:24">
      <c r="A16">
        <f t="shared" si="3"/>
        <v>12</v>
      </c>
      <c r="B16" s="200"/>
      <c r="C16" s="200"/>
      <c r="D16" s="200"/>
      <c r="E16" s="200">
        <f t="shared" si="2"/>
        <v>20000000</v>
      </c>
      <c r="F16" s="200">
        <f t="shared" si="1"/>
        <v>147833.33333333334</v>
      </c>
      <c r="G16" s="200"/>
      <c r="H16" s="200"/>
      <c r="I16" s="200"/>
    </row>
    <row r="17" spans="1:9" s="56" customFormat="1">
      <c r="A17" s="56">
        <f t="shared" si="3"/>
        <v>13</v>
      </c>
      <c r="B17" s="202"/>
      <c r="C17" s="202"/>
      <c r="D17" s="202">
        <v>185185</v>
      </c>
      <c r="E17" s="202">
        <f>E16-D17</f>
        <v>19814815</v>
      </c>
      <c r="F17" s="200">
        <f>E16*$C$2*30/360</f>
        <v>147833.33333333334</v>
      </c>
      <c r="G17" s="202"/>
      <c r="H17" s="202"/>
      <c r="I17" s="202"/>
    </row>
    <row r="18" spans="1:9">
      <c r="A18">
        <f t="shared" si="3"/>
        <v>14</v>
      </c>
      <c r="B18" s="200"/>
      <c r="C18" s="200"/>
      <c r="D18" s="200">
        <f>D17</f>
        <v>185185</v>
      </c>
      <c r="E18" s="202">
        <f t="shared" ref="E18:E81" si="5">E17-D18</f>
        <v>19629630</v>
      </c>
      <c r="F18" s="200">
        <f t="shared" ref="F18:F81" si="6">E17*$C$2*30/360</f>
        <v>146464.50754166665</v>
      </c>
      <c r="G18" s="200"/>
      <c r="H18" s="200"/>
      <c r="I18" s="200"/>
    </row>
    <row r="19" spans="1:9">
      <c r="A19">
        <f t="shared" si="3"/>
        <v>15</v>
      </c>
      <c r="B19" s="200"/>
      <c r="C19" s="200"/>
      <c r="D19" s="200">
        <f>D18</f>
        <v>185185</v>
      </c>
      <c r="E19" s="202">
        <f t="shared" si="5"/>
        <v>19444445</v>
      </c>
      <c r="F19" s="200">
        <f t="shared" si="6"/>
        <v>145095.68174999999</v>
      </c>
      <c r="G19" s="200"/>
      <c r="H19" s="200"/>
      <c r="I19" s="200"/>
    </row>
    <row r="20" spans="1:9">
      <c r="A20">
        <f t="shared" si="3"/>
        <v>16</v>
      </c>
      <c r="B20" s="200"/>
      <c r="C20" s="200"/>
      <c r="D20" s="200">
        <v>92593</v>
      </c>
      <c r="E20" s="202">
        <f t="shared" si="5"/>
        <v>19351852</v>
      </c>
      <c r="F20" s="200">
        <f t="shared" si="6"/>
        <v>143726.85595833336</v>
      </c>
      <c r="G20" s="200"/>
      <c r="H20" s="200"/>
      <c r="I20" s="200"/>
    </row>
    <row r="21" spans="1:9">
      <c r="A21">
        <f t="shared" si="3"/>
        <v>17</v>
      </c>
      <c r="B21" s="200"/>
      <c r="C21" s="200"/>
      <c r="D21" s="200">
        <f>D20</f>
        <v>92593</v>
      </c>
      <c r="E21" s="202">
        <f t="shared" si="5"/>
        <v>19259259</v>
      </c>
      <c r="F21" s="200">
        <f t="shared" si="6"/>
        <v>143042.43936666669</v>
      </c>
      <c r="G21" s="200"/>
      <c r="H21" s="200"/>
      <c r="I21" s="200"/>
    </row>
    <row r="22" spans="1:9" s="173" customFormat="1">
      <c r="A22" s="173">
        <f t="shared" si="3"/>
        <v>18</v>
      </c>
      <c r="B22" s="203"/>
      <c r="C22" s="203"/>
      <c r="D22" s="203">
        <f>D18</f>
        <v>185185</v>
      </c>
      <c r="E22" s="203">
        <f t="shared" si="5"/>
        <v>19074074</v>
      </c>
      <c r="F22" s="203">
        <f t="shared" si="6"/>
        <v>142358.02277499999</v>
      </c>
      <c r="G22" s="203"/>
      <c r="H22" s="203">
        <f>SUM(D11:D22)</f>
        <v>925926</v>
      </c>
      <c r="I22" s="203">
        <f>SUM(F11:F22)</f>
        <v>1630394.7073916667</v>
      </c>
    </row>
    <row r="23" spans="1:9">
      <c r="A23">
        <f t="shared" si="3"/>
        <v>19</v>
      </c>
      <c r="B23" s="200"/>
      <c r="C23" s="200"/>
      <c r="D23" s="200">
        <f>D19</f>
        <v>185185</v>
      </c>
      <c r="E23" s="202">
        <f t="shared" si="5"/>
        <v>18888889</v>
      </c>
      <c r="F23" s="200">
        <f t="shared" si="6"/>
        <v>140989.19698333333</v>
      </c>
      <c r="G23" s="200"/>
      <c r="H23" s="200"/>
      <c r="I23" s="200"/>
    </row>
    <row r="24" spans="1:9">
      <c r="A24">
        <f t="shared" si="3"/>
        <v>20</v>
      </c>
      <c r="B24" s="200"/>
      <c r="C24" s="200"/>
      <c r="D24" s="200">
        <v>277778</v>
      </c>
      <c r="E24" s="202">
        <f t="shared" si="5"/>
        <v>18611111</v>
      </c>
      <c r="F24" s="200">
        <f t="shared" si="6"/>
        <v>139620.37119166667</v>
      </c>
      <c r="G24" s="200"/>
      <c r="H24" s="200"/>
      <c r="I24" s="200"/>
    </row>
    <row r="25" spans="1:9">
      <c r="A25">
        <f t="shared" si="3"/>
        <v>21</v>
      </c>
      <c r="B25" s="200"/>
      <c r="C25" s="200"/>
      <c r="D25" s="200">
        <v>277778</v>
      </c>
      <c r="E25" s="202">
        <f t="shared" si="5"/>
        <v>18333333</v>
      </c>
      <c r="F25" s="200">
        <f t="shared" si="6"/>
        <v>137567.12880833336</v>
      </c>
      <c r="G25" s="200"/>
      <c r="H25" s="200"/>
      <c r="I25" s="200"/>
    </row>
    <row r="26" spans="1:9">
      <c r="A26">
        <f t="shared" si="3"/>
        <v>22</v>
      </c>
      <c r="B26" s="200"/>
      <c r="C26" s="200"/>
      <c r="D26" s="200">
        <v>185185</v>
      </c>
      <c r="E26" s="202">
        <f t="shared" si="5"/>
        <v>18148148</v>
      </c>
      <c r="F26" s="200">
        <f t="shared" si="6"/>
        <v>135513.886425</v>
      </c>
      <c r="G26" s="200"/>
      <c r="H26" s="200"/>
      <c r="I26" s="200"/>
    </row>
    <row r="27" spans="1:9">
      <c r="A27">
        <f t="shared" si="3"/>
        <v>23</v>
      </c>
      <c r="B27" s="200"/>
      <c r="C27" s="200"/>
      <c r="D27" s="200">
        <v>185185</v>
      </c>
      <c r="E27" s="202">
        <f t="shared" si="5"/>
        <v>17962963</v>
      </c>
      <c r="F27" s="200">
        <f t="shared" si="6"/>
        <v>134145.06063333334</v>
      </c>
      <c r="G27" s="200"/>
      <c r="H27" s="200"/>
      <c r="I27" s="200"/>
    </row>
    <row r="28" spans="1:9">
      <c r="A28">
        <f t="shared" si="3"/>
        <v>24</v>
      </c>
      <c r="B28" s="200"/>
      <c r="C28" s="200"/>
      <c r="D28" s="200">
        <v>185185</v>
      </c>
      <c r="E28" s="202">
        <f t="shared" si="5"/>
        <v>17777778</v>
      </c>
      <c r="F28" s="200">
        <f t="shared" si="6"/>
        <v>132776.23484166665</v>
      </c>
      <c r="G28" s="200"/>
      <c r="H28" s="200"/>
      <c r="I28" s="200"/>
    </row>
    <row r="29" spans="1:9">
      <c r="A29">
        <f t="shared" si="3"/>
        <v>25</v>
      </c>
      <c r="B29" s="200"/>
      <c r="C29" s="200"/>
      <c r="D29" s="200">
        <v>185185</v>
      </c>
      <c r="E29" s="202">
        <f t="shared" si="5"/>
        <v>17592593</v>
      </c>
      <c r="F29" s="200">
        <f t="shared" si="6"/>
        <v>131407.40905000002</v>
      </c>
      <c r="G29" s="200"/>
      <c r="H29" s="200"/>
      <c r="I29" s="200"/>
    </row>
    <row r="30" spans="1:9">
      <c r="A30">
        <f t="shared" si="3"/>
        <v>26</v>
      </c>
      <c r="B30" s="200"/>
      <c r="C30" s="200"/>
      <c r="D30" s="200">
        <v>185185</v>
      </c>
      <c r="E30" s="202">
        <f t="shared" si="5"/>
        <v>17407408</v>
      </c>
      <c r="F30" s="200">
        <f t="shared" si="6"/>
        <v>130038.58325833335</v>
      </c>
      <c r="G30" s="200"/>
      <c r="H30" s="200"/>
      <c r="I30" s="200"/>
    </row>
    <row r="31" spans="1:9">
      <c r="A31">
        <f t="shared" si="3"/>
        <v>27</v>
      </c>
      <c r="B31" s="200"/>
      <c r="C31" s="200"/>
      <c r="D31" s="200">
        <v>185185</v>
      </c>
      <c r="E31" s="202">
        <f t="shared" si="5"/>
        <v>17222223</v>
      </c>
      <c r="F31" s="200">
        <f t="shared" si="6"/>
        <v>128669.75746666666</v>
      </c>
      <c r="G31" s="200"/>
      <c r="H31" s="200"/>
      <c r="I31" s="200"/>
    </row>
    <row r="32" spans="1:9">
      <c r="A32">
        <f t="shared" si="3"/>
        <v>28</v>
      </c>
      <c r="B32" s="200"/>
      <c r="C32" s="200"/>
      <c r="D32" s="200">
        <v>92593</v>
      </c>
      <c r="E32" s="202">
        <f t="shared" si="5"/>
        <v>17129630</v>
      </c>
      <c r="F32" s="200">
        <f t="shared" si="6"/>
        <v>127300.93167499999</v>
      </c>
      <c r="G32" s="200"/>
      <c r="H32" s="200"/>
      <c r="I32" s="200"/>
    </row>
    <row r="33" spans="1:10">
      <c r="A33">
        <f t="shared" si="3"/>
        <v>29</v>
      </c>
      <c r="B33" s="200"/>
      <c r="C33" s="200"/>
      <c r="D33" s="200">
        <v>92593</v>
      </c>
      <c r="E33" s="202">
        <f t="shared" si="5"/>
        <v>17037037</v>
      </c>
      <c r="F33" s="200">
        <f t="shared" si="6"/>
        <v>126616.51508333333</v>
      </c>
      <c r="G33" s="200"/>
      <c r="H33" s="200"/>
      <c r="I33" s="200"/>
    </row>
    <row r="34" spans="1:10" s="173" customFormat="1">
      <c r="A34" s="173">
        <f t="shared" si="3"/>
        <v>30</v>
      </c>
      <c r="B34" s="203"/>
      <c r="C34" s="203"/>
      <c r="D34" s="203">
        <v>185185</v>
      </c>
      <c r="E34" s="203">
        <f t="shared" si="5"/>
        <v>16851852</v>
      </c>
      <c r="F34" s="203">
        <f t="shared" si="6"/>
        <v>125932.09849166668</v>
      </c>
      <c r="G34" s="203"/>
      <c r="H34" s="203">
        <f>SUM(D23:D34)</f>
        <v>2222222</v>
      </c>
      <c r="I34" s="203">
        <f>SUM(F23:F34)</f>
        <v>1590577.1739083331</v>
      </c>
    </row>
    <row r="35" spans="1:10">
      <c r="A35">
        <f t="shared" si="3"/>
        <v>31</v>
      </c>
      <c r="B35" s="200"/>
      <c r="C35" s="200"/>
      <c r="D35" s="200">
        <v>185185</v>
      </c>
      <c r="E35" s="202">
        <f t="shared" si="5"/>
        <v>16666667</v>
      </c>
      <c r="F35" s="200">
        <f t="shared" si="6"/>
        <v>124563.27270000002</v>
      </c>
      <c r="G35" s="200"/>
      <c r="H35" s="200"/>
      <c r="I35" s="200"/>
    </row>
    <row r="36" spans="1:10">
      <c r="A36">
        <f t="shared" si="3"/>
        <v>32</v>
      </c>
      <c r="B36" s="200"/>
      <c r="C36" s="200"/>
      <c r="D36" s="200">
        <v>277778</v>
      </c>
      <c r="E36" s="202">
        <f t="shared" si="5"/>
        <v>16388889</v>
      </c>
      <c r="F36" s="200">
        <f t="shared" si="6"/>
        <v>123194.44690833334</v>
      </c>
      <c r="G36" s="200"/>
      <c r="H36" s="200"/>
      <c r="I36" s="200"/>
    </row>
    <row r="37" spans="1:10">
      <c r="A37">
        <f t="shared" si="3"/>
        <v>33</v>
      </c>
      <c r="B37" s="200"/>
      <c r="C37" s="200"/>
      <c r="D37" s="200">
        <v>277778</v>
      </c>
      <c r="E37" s="202">
        <f t="shared" si="5"/>
        <v>16111111</v>
      </c>
      <c r="F37" s="200">
        <f t="shared" si="6"/>
        <v>121141.20452500001</v>
      </c>
      <c r="G37" s="200"/>
      <c r="H37" s="200"/>
      <c r="I37" s="200"/>
      <c r="J37" s="200">
        <f>E37/2</f>
        <v>8055555.5</v>
      </c>
    </row>
    <row r="38" spans="1:10">
      <c r="A38">
        <f t="shared" si="3"/>
        <v>34</v>
      </c>
      <c r="B38" s="200"/>
      <c r="C38" s="200"/>
      <c r="D38" s="200">
        <v>185185</v>
      </c>
      <c r="E38" s="202">
        <f t="shared" si="5"/>
        <v>15925926</v>
      </c>
      <c r="F38" s="200">
        <f t="shared" si="6"/>
        <v>119087.96214166669</v>
      </c>
      <c r="G38" s="200"/>
      <c r="H38" s="200"/>
      <c r="I38" s="200"/>
    </row>
    <row r="39" spans="1:10">
      <c r="A39">
        <f t="shared" si="3"/>
        <v>35</v>
      </c>
      <c r="B39" s="200"/>
      <c r="C39" s="200"/>
      <c r="D39" s="200">
        <v>185185</v>
      </c>
      <c r="E39" s="202">
        <f t="shared" si="5"/>
        <v>15740741</v>
      </c>
      <c r="F39" s="200">
        <f t="shared" si="6"/>
        <v>117719.13635000002</v>
      </c>
      <c r="G39" s="200"/>
      <c r="H39" s="200"/>
      <c r="I39" s="200"/>
    </row>
    <row r="40" spans="1:10">
      <c r="A40">
        <f t="shared" si="3"/>
        <v>36</v>
      </c>
      <c r="B40" s="200"/>
      <c r="C40" s="200"/>
      <c r="D40" s="200">
        <v>185185</v>
      </c>
      <c r="E40" s="202">
        <f t="shared" si="5"/>
        <v>15555556</v>
      </c>
      <c r="F40" s="200">
        <f t="shared" si="6"/>
        <v>116350.31055833332</v>
      </c>
      <c r="G40" s="200"/>
      <c r="H40" s="200"/>
      <c r="I40" s="200"/>
    </row>
    <row r="41" spans="1:10">
      <c r="A41">
        <f t="shared" si="3"/>
        <v>37</v>
      </c>
      <c r="B41" s="200"/>
      <c r="C41" s="200"/>
      <c r="D41" s="200">
        <v>185185</v>
      </c>
      <c r="E41" s="202">
        <f t="shared" si="5"/>
        <v>15370371</v>
      </c>
      <c r="F41" s="200">
        <f t="shared" si="6"/>
        <v>114981.48476666665</v>
      </c>
      <c r="G41" s="200"/>
      <c r="H41" s="200"/>
      <c r="I41" s="200"/>
    </row>
    <row r="42" spans="1:10">
      <c r="A42">
        <f t="shared" si="3"/>
        <v>38</v>
      </c>
      <c r="B42" s="200"/>
      <c r="C42" s="200"/>
      <c r="D42" s="200">
        <v>185185</v>
      </c>
      <c r="E42" s="202">
        <f t="shared" si="5"/>
        <v>15185186</v>
      </c>
      <c r="F42" s="200">
        <f t="shared" si="6"/>
        <v>113612.65897500001</v>
      </c>
      <c r="G42" s="200"/>
      <c r="H42" s="200"/>
      <c r="I42" s="200"/>
    </row>
    <row r="43" spans="1:10">
      <c r="A43">
        <f t="shared" si="3"/>
        <v>39</v>
      </c>
      <c r="B43" s="200"/>
      <c r="C43" s="200"/>
      <c r="D43" s="200">
        <v>185185</v>
      </c>
      <c r="E43" s="202">
        <f t="shared" si="5"/>
        <v>15000001</v>
      </c>
      <c r="F43" s="200">
        <f t="shared" si="6"/>
        <v>112243.83318333334</v>
      </c>
      <c r="G43" s="200"/>
      <c r="H43" s="200"/>
      <c r="I43" s="200"/>
    </row>
    <row r="44" spans="1:10">
      <c r="A44">
        <f t="shared" si="3"/>
        <v>40</v>
      </c>
      <c r="B44" s="200"/>
      <c r="C44" s="200"/>
      <c r="D44" s="200">
        <v>92593</v>
      </c>
      <c r="E44" s="202">
        <f t="shared" si="5"/>
        <v>14907408</v>
      </c>
      <c r="F44" s="200">
        <f t="shared" si="6"/>
        <v>110875.00739166666</v>
      </c>
      <c r="G44" s="200"/>
      <c r="H44" s="200"/>
      <c r="I44" s="200"/>
    </row>
    <row r="45" spans="1:10">
      <c r="A45">
        <f t="shared" si="3"/>
        <v>41</v>
      </c>
      <c r="B45" s="200"/>
      <c r="C45" s="200"/>
      <c r="D45" s="200">
        <v>92593</v>
      </c>
      <c r="E45" s="202">
        <f t="shared" si="5"/>
        <v>14814815</v>
      </c>
      <c r="F45" s="200">
        <f t="shared" si="6"/>
        <v>110190.59080000001</v>
      </c>
      <c r="G45" s="200"/>
      <c r="H45" s="200"/>
      <c r="I45" s="200"/>
    </row>
    <row r="46" spans="1:10" s="173" customFormat="1">
      <c r="A46" s="173">
        <f t="shared" si="3"/>
        <v>42</v>
      </c>
      <c r="B46" s="203"/>
      <c r="C46" s="203"/>
      <c r="D46" s="203">
        <v>185185</v>
      </c>
      <c r="E46" s="203">
        <f t="shared" si="5"/>
        <v>14629630</v>
      </c>
      <c r="F46" s="203">
        <f t="shared" si="6"/>
        <v>109506.17420833332</v>
      </c>
      <c r="G46" s="203"/>
      <c r="H46" s="203">
        <f>SUM(D35:D46)</f>
        <v>2222222</v>
      </c>
      <c r="I46" s="203">
        <f>SUM(F35:F46)</f>
        <v>1393466.0825083335</v>
      </c>
    </row>
    <row r="47" spans="1:10">
      <c r="A47">
        <f t="shared" si="3"/>
        <v>43</v>
      </c>
      <c r="B47" s="200"/>
      <c r="C47" s="200"/>
      <c r="D47" s="200">
        <v>185185</v>
      </c>
      <c r="E47" s="202">
        <f t="shared" si="5"/>
        <v>14444445</v>
      </c>
      <c r="F47" s="200">
        <f t="shared" si="6"/>
        <v>108137.34841666666</v>
      </c>
      <c r="G47" s="200"/>
      <c r="H47" s="200"/>
      <c r="I47" s="200"/>
    </row>
    <row r="48" spans="1:10">
      <c r="A48">
        <f t="shared" si="3"/>
        <v>44</v>
      </c>
      <c r="B48" s="200"/>
      <c r="C48" s="200"/>
      <c r="D48" s="200">
        <v>277778</v>
      </c>
      <c r="E48" s="202">
        <f t="shared" si="5"/>
        <v>14166667</v>
      </c>
      <c r="F48" s="200">
        <f t="shared" si="6"/>
        <v>106768.52262500001</v>
      </c>
      <c r="G48" s="200"/>
      <c r="H48" s="200"/>
      <c r="I48" s="200"/>
    </row>
    <row r="49" spans="1:9">
      <c r="A49">
        <f t="shared" si="3"/>
        <v>45</v>
      </c>
      <c r="B49" s="200"/>
      <c r="C49" s="200"/>
      <c r="D49" s="200">
        <v>277778</v>
      </c>
      <c r="E49" s="202">
        <f t="shared" si="5"/>
        <v>13888889</v>
      </c>
      <c r="F49" s="200">
        <f t="shared" si="6"/>
        <v>104715.28024166667</v>
      </c>
      <c r="G49" s="200"/>
      <c r="H49" s="200"/>
      <c r="I49" s="200"/>
    </row>
    <row r="50" spans="1:9">
      <c r="A50">
        <f t="shared" si="3"/>
        <v>46</v>
      </c>
      <c r="B50" s="200"/>
      <c r="C50" s="200"/>
      <c r="D50" s="200">
        <v>185185</v>
      </c>
      <c r="E50" s="202">
        <f t="shared" si="5"/>
        <v>13703704</v>
      </c>
      <c r="F50" s="200">
        <f t="shared" si="6"/>
        <v>102662.03785833334</v>
      </c>
      <c r="G50" s="200"/>
      <c r="H50" s="200"/>
      <c r="I50" s="200"/>
    </row>
    <row r="51" spans="1:9">
      <c r="A51">
        <f t="shared" si="3"/>
        <v>47</v>
      </c>
      <c r="B51" s="200"/>
      <c r="C51" s="200"/>
      <c r="D51" s="200">
        <v>185185</v>
      </c>
      <c r="E51" s="202">
        <f t="shared" si="5"/>
        <v>13518519</v>
      </c>
      <c r="F51" s="200">
        <f t="shared" si="6"/>
        <v>101293.21206666667</v>
      </c>
      <c r="G51" s="200"/>
      <c r="H51" s="200"/>
      <c r="I51" s="200"/>
    </row>
    <row r="52" spans="1:9">
      <c r="A52">
        <f t="shared" si="3"/>
        <v>48</v>
      </c>
      <c r="B52" s="200"/>
      <c r="C52" s="200"/>
      <c r="D52" s="200">
        <v>185185</v>
      </c>
      <c r="E52" s="202">
        <f t="shared" si="5"/>
        <v>13333334</v>
      </c>
      <c r="F52" s="200">
        <f t="shared" si="6"/>
        <v>99924.386274999997</v>
      </c>
      <c r="G52" s="200"/>
      <c r="H52" s="200"/>
      <c r="I52" s="200"/>
    </row>
    <row r="53" spans="1:9">
      <c r="A53">
        <f t="shared" si="3"/>
        <v>49</v>
      </c>
      <c r="B53" s="200"/>
      <c r="C53" s="200"/>
      <c r="D53" s="200">
        <v>185185</v>
      </c>
      <c r="E53" s="202">
        <f t="shared" si="5"/>
        <v>13148149</v>
      </c>
      <c r="F53" s="200">
        <f t="shared" si="6"/>
        <v>98555.56048333332</v>
      </c>
      <c r="G53" s="200"/>
      <c r="H53" s="200"/>
      <c r="I53" s="200"/>
    </row>
    <row r="54" spans="1:9">
      <c r="A54">
        <f t="shared" si="3"/>
        <v>50</v>
      </c>
      <c r="B54" s="200"/>
      <c r="C54" s="200"/>
      <c r="D54" s="200">
        <v>185185</v>
      </c>
      <c r="E54" s="202">
        <f t="shared" si="5"/>
        <v>12962964</v>
      </c>
      <c r="F54" s="200">
        <f t="shared" si="6"/>
        <v>97186.734691666672</v>
      </c>
      <c r="G54" s="200"/>
      <c r="H54" s="200"/>
      <c r="I54" s="200"/>
    </row>
    <row r="55" spans="1:9">
      <c r="A55">
        <f t="shared" si="3"/>
        <v>51</v>
      </c>
      <c r="B55" s="200"/>
      <c r="C55" s="200"/>
      <c r="D55" s="200">
        <v>185185</v>
      </c>
      <c r="E55" s="202">
        <f t="shared" si="5"/>
        <v>12777779</v>
      </c>
      <c r="F55" s="200">
        <f t="shared" si="6"/>
        <v>95817.908899999995</v>
      </c>
      <c r="G55" s="200"/>
      <c r="H55" s="200"/>
      <c r="I55" s="200"/>
    </row>
    <row r="56" spans="1:9">
      <c r="A56">
        <f t="shared" si="3"/>
        <v>52</v>
      </c>
      <c r="B56" s="200"/>
      <c r="C56" s="200"/>
      <c r="D56" s="200">
        <v>92593</v>
      </c>
      <c r="E56" s="202">
        <f t="shared" si="5"/>
        <v>12685186</v>
      </c>
      <c r="F56" s="200">
        <f t="shared" si="6"/>
        <v>94449.083108333332</v>
      </c>
      <c r="G56" s="200"/>
      <c r="H56" s="200"/>
      <c r="I56" s="200"/>
    </row>
    <row r="57" spans="1:9">
      <c r="A57">
        <f t="shared" si="3"/>
        <v>53</v>
      </c>
      <c r="B57" s="200"/>
      <c r="C57" s="200"/>
      <c r="D57" s="200">
        <v>92593</v>
      </c>
      <c r="E57" s="202">
        <f t="shared" si="5"/>
        <v>12592593</v>
      </c>
      <c r="F57" s="200">
        <f t="shared" si="6"/>
        <v>93764.666516666679</v>
      </c>
      <c r="G57" s="200"/>
      <c r="H57" s="200"/>
      <c r="I57" s="200"/>
    </row>
    <row r="58" spans="1:9" s="173" customFormat="1">
      <c r="A58" s="173">
        <f t="shared" si="3"/>
        <v>54</v>
      </c>
      <c r="B58" s="203"/>
      <c r="C58" s="203"/>
      <c r="D58" s="203">
        <v>185185</v>
      </c>
      <c r="E58" s="203">
        <f t="shared" si="5"/>
        <v>12407408</v>
      </c>
      <c r="F58" s="203">
        <f t="shared" si="6"/>
        <v>93080.249924999996</v>
      </c>
      <c r="G58" s="203"/>
      <c r="H58" s="203">
        <f>SUM(D47:D58)</f>
        <v>2222222</v>
      </c>
      <c r="I58" s="203">
        <f>SUM(F47:F58)</f>
        <v>1196354.9911083332</v>
      </c>
    </row>
    <row r="59" spans="1:9">
      <c r="A59">
        <f t="shared" si="3"/>
        <v>55</v>
      </c>
      <c r="B59" s="200"/>
      <c r="C59" s="200"/>
      <c r="D59" s="200">
        <v>185185</v>
      </c>
      <c r="E59" s="202">
        <f t="shared" si="5"/>
        <v>12222223</v>
      </c>
      <c r="F59" s="200">
        <f t="shared" si="6"/>
        <v>91711.424133333334</v>
      </c>
      <c r="G59" s="200"/>
      <c r="H59" s="200"/>
      <c r="I59" s="200"/>
    </row>
    <row r="60" spans="1:9">
      <c r="A60">
        <f t="shared" si="3"/>
        <v>56</v>
      </c>
      <c r="B60" s="200"/>
      <c r="C60" s="200"/>
      <c r="D60" s="200">
        <v>277778</v>
      </c>
      <c r="E60" s="202">
        <f t="shared" si="5"/>
        <v>11944445</v>
      </c>
      <c r="F60" s="200">
        <f t="shared" si="6"/>
        <v>90342.598341666671</v>
      </c>
      <c r="G60" s="200"/>
      <c r="H60" s="200"/>
      <c r="I60" s="200"/>
    </row>
    <row r="61" spans="1:9">
      <c r="A61">
        <f t="shared" si="3"/>
        <v>57</v>
      </c>
      <c r="B61" s="200"/>
      <c r="C61" s="200"/>
      <c r="D61" s="200">
        <v>277778</v>
      </c>
      <c r="E61" s="202">
        <f t="shared" si="5"/>
        <v>11666667</v>
      </c>
      <c r="F61" s="200">
        <f t="shared" si="6"/>
        <v>88289.355958333326</v>
      </c>
      <c r="G61" s="200"/>
      <c r="H61" s="200"/>
      <c r="I61" s="200"/>
    </row>
    <row r="62" spans="1:9">
      <c r="A62">
        <f t="shared" si="3"/>
        <v>58</v>
      </c>
      <c r="B62" s="200"/>
      <c r="C62" s="200"/>
      <c r="D62" s="200">
        <v>185185</v>
      </c>
      <c r="E62" s="202">
        <f t="shared" si="5"/>
        <v>11481482</v>
      </c>
      <c r="F62" s="200">
        <f t="shared" si="6"/>
        <v>86236.11357500001</v>
      </c>
      <c r="G62" s="200"/>
      <c r="H62" s="200"/>
      <c r="I62" s="200"/>
    </row>
    <row r="63" spans="1:9">
      <c r="A63">
        <f t="shared" si="3"/>
        <v>59</v>
      </c>
      <c r="B63" s="200"/>
      <c r="C63" s="200"/>
      <c r="D63" s="200">
        <v>185185</v>
      </c>
      <c r="E63" s="202">
        <f t="shared" si="5"/>
        <v>11296297</v>
      </c>
      <c r="F63" s="200">
        <f t="shared" si="6"/>
        <v>84867.287783333333</v>
      </c>
      <c r="G63" s="200"/>
      <c r="H63" s="200"/>
      <c r="I63" s="200"/>
    </row>
    <row r="64" spans="1:9">
      <c r="A64">
        <f t="shared" si="3"/>
        <v>60</v>
      </c>
      <c r="B64" s="200"/>
      <c r="C64" s="200"/>
      <c r="D64" s="200">
        <v>185185</v>
      </c>
      <c r="E64" s="202">
        <f t="shared" si="5"/>
        <v>11111112</v>
      </c>
      <c r="F64" s="200">
        <f t="shared" si="6"/>
        <v>83498.461991666671</v>
      </c>
      <c r="G64" s="200"/>
      <c r="H64" s="200"/>
      <c r="I64" s="200"/>
    </row>
    <row r="65" spans="1:9">
      <c r="A65">
        <f t="shared" si="3"/>
        <v>61</v>
      </c>
      <c r="B65" s="200"/>
      <c r="C65" s="200"/>
      <c r="D65" s="200">
        <v>185185</v>
      </c>
      <c r="E65" s="202">
        <f t="shared" si="5"/>
        <v>10925927</v>
      </c>
      <c r="F65" s="200">
        <f t="shared" si="6"/>
        <v>82129.636199999994</v>
      </c>
      <c r="G65" s="200"/>
      <c r="H65" s="200"/>
      <c r="I65" s="200"/>
    </row>
    <row r="66" spans="1:9">
      <c r="A66">
        <f t="shared" si="3"/>
        <v>62</v>
      </c>
      <c r="B66" s="200"/>
      <c r="C66" s="200"/>
      <c r="D66" s="200">
        <v>185185</v>
      </c>
      <c r="E66" s="202">
        <f t="shared" si="5"/>
        <v>10740742</v>
      </c>
      <c r="F66" s="200">
        <f t="shared" si="6"/>
        <v>80760.810408333331</v>
      </c>
      <c r="G66" s="200"/>
      <c r="H66" s="200"/>
      <c r="I66" s="200"/>
    </row>
    <row r="67" spans="1:9">
      <c r="A67">
        <f t="shared" si="3"/>
        <v>63</v>
      </c>
      <c r="B67" s="200"/>
      <c r="C67" s="200"/>
      <c r="D67" s="200">
        <v>185185</v>
      </c>
      <c r="E67" s="202">
        <f t="shared" si="5"/>
        <v>10555557</v>
      </c>
      <c r="F67" s="200">
        <f t="shared" si="6"/>
        <v>79391.984616666654</v>
      </c>
      <c r="G67" s="200"/>
      <c r="H67" s="200"/>
      <c r="I67" s="200"/>
    </row>
    <row r="68" spans="1:9">
      <c r="A68">
        <f t="shared" si="3"/>
        <v>64</v>
      </c>
      <c r="B68" s="200"/>
      <c r="C68" s="200"/>
      <c r="D68" s="200">
        <v>92593</v>
      </c>
      <c r="E68" s="202">
        <f t="shared" si="5"/>
        <v>10462964</v>
      </c>
      <c r="F68" s="200">
        <f t="shared" si="6"/>
        <v>78023.158825000006</v>
      </c>
      <c r="G68" s="200"/>
      <c r="H68" s="200"/>
      <c r="I68" s="200"/>
    </row>
    <row r="69" spans="1:9">
      <c r="A69">
        <f t="shared" si="3"/>
        <v>65</v>
      </c>
      <c r="B69" s="200"/>
      <c r="C69" s="200"/>
      <c r="D69" s="200">
        <v>92593</v>
      </c>
      <c r="E69" s="202">
        <f t="shared" si="5"/>
        <v>10370371</v>
      </c>
      <c r="F69" s="200">
        <f t="shared" si="6"/>
        <v>77338.742233333338</v>
      </c>
      <c r="G69" s="200"/>
      <c r="H69" s="200"/>
      <c r="I69" s="200"/>
    </row>
    <row r="70" spans="1:9" s="173" customFormat="1">
      <c r="A70" s="173">
        <f t="shared" si="3"/>
        <v>66</v>
      </c>
      <c r="B70" s="203"/>
      <c r="C70" s="203"/>
      <c r="D70" s="203">
        <v>185185</v>
      </c>
      <c r="E70" s="203">
        <f t="shared" si="5"/>
        <v>10185186</v>
      </c>
      <c r="F70" s="203">
        <f t="shared" si="6"/>
        <v>76654.32564166667</v>
      </c>
      <c r="G70" s="203"/>
      <c r="H70" s="203">
        <f>SUM(D59:D70)</f>
        <v>2222222</v>
      </c>
      <c r="I70" s="203">
        <f>SUM(F59:F70)</f>
        <v>999243.89970833331</v>
      </c>
    </row>
    <row r="71" spans="1:9">
      <c r="A71">
        <f t="shared" si="3"/>
        <v>67</v>
      </c>
      <c r="B71" s="200"/>
      <c r="C71" s="200"/>
      <c r="D71" s="200">
        <v>185185</v>
      </c>
      <c r="E71" s="202">
        <f t="shared" si="5"/>
        <v>10000001</v>
      </c>
      <c r="F71" s="200">
        <f t="shared" si="6"/>
        <v>75285.499850000007</v>
      </c>
      <c r="G71" s="200"/>
      <c r="H71" s="200"/>
      <c r="I71" s="200"/>
    </row>
    <row r="72" spans="1:9">
      <c r="A72">
        <f t="shared" ref="A72:A81" si="7">A71+1</f>
        <v>68</v>
      </c>
      <c r="B72" s="200"/>
      <c r="C72" s="200"/>
      <c r="D72" s="200">
        <v>277778</v>
      </c>
      <c r="E72" s="202">
        <f t="shared" si="5"/>
        <v>9722223</v>
      </c>
      <c r="F72" s="200">
        <f t="shared" si="6"/>
        <v>73916.67405833333</v>
      </c>
      <c r="G72" s="200"/>
      <c r="H72" s="200"/>
      <c r="I72" s="200"/>
    </row>
    <row r="73" spans="1:9">
      <c r="A73">
        <f t="shared" si="7"/>
        <v>69</v>
      </c>
      <c r="B73" s="200"/>
      <c r="C73" s="200"/>
      <c r="D73" s="200">
        <v>277778</v>
      </c>
      <c r="E73" s="202">
        <f t="shared" si="5"/>
        <v>9444445</v>
      </c>
      <c r="F73" s="200">
        <f t="shared" si="6"/>
        <v>71863.431675</v>
      </c>
      <c r="G73" s="200"/>
      <c r="H73" s="200"/>
      <c r="I73" s="200"/>
    </row>
    <row r="74" spans="1:9">
      <c r="A74">
        <f t="shared" si="7"/>
        <v>70</v>
      </c>
      <c r="B74" s="200"/>
      <c r="C74" s="200"/>
      <c r="D74" s="200">
        <v>185185</v>
      </c>
      <c r="E74" s="202">
        <f t="shared" si="5"/>
        <v>9259260</v>
      </c>
      <c r="F74" s="200">
        <f t="shared" si="6"/>
        <v>69810.189291666669</v>
      </c>
      <c r="G74" s="200"/>
      <c r="H74" s="200"/>
      <c r="I74" s="200"/>
    </row>
    <row r="75" spans="1:9">
      <c r="A75">
        <f t="shared" si="7"/>
        <v>71</v>
      </c>
      <c r="B75" s="200"/>
      <c r="C75" s="200"/>
      <c r="D75" s="200">
        <v>185185</v>
      </c>
      <c r="E75" s="202">
        <f t="shared" si="5"/>
        <v>9074075</v>
      </c>
      <c r="F75" s="200">
        <f t="shared" si="6"/>
        <v>68441.363499999992</v>
      </c>
      <c r="G75" s="200"/>
      <c r="H75" s="200"/>
      <c r="I75" s="200"/>
    </row>
    <row r="76" spans="1:9">
      <c r="A76">
        <f t="shared" si="7"/>
        <v>72</v>
      </c>
      <c r="B76" s="200"/>
      <c r="C76" s="200"/>
      <c r="D76" s="200">
        <v>185185</v>
      </c>
      <c r="E76" s="202">
        <f t="shared" si="5"/>
        <v>8888890</v>
      </c>
      <c r="F76" s="200">
        <f t="shared" si="6"/>
        <v>67072.53770833333</v>
      </c>
      <c r="G76" s="200"/>
      <c r="H76" s="200"/>
      <c r="I76" s="200"/>
    </row>
    <row r="77" spans="1:9">
      <c r="A77">
        <f t="shared" si="7"/>
        <v>73</v>
      </c>
      <c r="B77" s="200"/>
      <c r="C77" s="200"/>
      <c r="D77" s="200">
        <v>185185</v>
      </c>
      <c r="E77" s="202">
        <f t="shared" si="5"/>
        <v>8703705</v>
      </c>
      <c r="F77" s="200">
        <f t="shared" si="6"/>
        <v>65703.711916666682</v>
      </c>
      <c r="G77" s="200"/>
      <c r="H77" s="200"/>
      <c r="I77" s="200"/>
    </row>
    <row r="78" spans="1:9">
      <c r="A78">
        <f t="shared" si="7"/>
        <v>74</v>
      </c>
      <c r="B78" s="200"/>
      <c r="C78" s="200"/>
      <c r="D78" s="200">
        <v>185185</v>
      </c>
      <c r="E78" s="202">
        <f t="shared" si="5"/>
        <v>8518520</v>
      </c>
      <c r="F78" s="200">
        <f t="shared" si="6"/>
        <v>64334.886124999997</v>
      </c>
      <c r="G78" s="200"/>
      <c r="H78" s="200"/>
      <c r="I78" s="200"/>
    </row>
    <row r="79" spans="1:9">
      <c r="A79">
        <f t="shared" si="7"/>
        <v>75</v>
      </c>
      <c r="B79" s="200"/>
      <c r="C79" s="200"/>
      <c r="D79" s="200">
        <v>185185</v>
      </c>
      <c r="E79" s="202">
        <f t="shared" si="5"/>
        <v>8333335</v>
      </c>
      <c r="F79" s="200">
        <f t="shared" si="6"/>
        <v>62966.060333333342</v>
      </c>
      <c r="G79" s="200"/>
      <c r="H79" s="200"/>
      <c r="I79" s="200"/>
    </row>
    <row r="80" spans="1:9">
      <c r="A80">
        <f t="shared" si="7"/>
        <v>76</v>
      </c>
      <c r="B80" s="200"/>
      <c r="C80" s="200"/>
      <c r="D80" s="200">
        <v>92593</v>
      </c>
      <c r="E80" s="202">
        <f t="shared" si="5"/>
        <v>8240742</v>
      </c>
      <c r="F80" s="200">
        <f t="shared" si="6"/>
        <v>61597.234541666665</v>
      </c>
      <c r="G80" s="200"/>
      <c r="H80" s="200"/>
      <c r="I80" s="200"/>
    </row>
    <row r="81" spans="1:9">
      <c r="A81">
        <f t="shared" si="7"/>
        <v>77</v>
      </c>
      <c r="B81" s="200"/>
      <c r="C81" s="200"/>
      <c r="D81" s="200">
        <v>92593</v>
      </c>
      <c r="E81" s="202">
        <f t="shared" si="5"/>
        <v>8148149</v>
      </c>
      <c r="F81" s="200">
        <f t="shared" si="6"/>
        <v>60912.81794999999</v>
      </c>
      <c r="G81" s="200"/>
      <c r="H81" s="200"/>
      <c r="I81" s="200"/>
    </row>
    <row r="82" spans="1:9" s="173" customFormat="1">
      <c r="A82" s="173">
        <f>A81+1</f>
        <v>78</v>
      </c>
      <c r="B82" s="203"/>
      <c r="C82" s="203"/>
      <c r="D82" s="203">
        <v>185185</v>
      </c>
      <c r="E82" s="203">
        <f t="shared" ref="E82:E124" si="8">E81-D82</f>
        <v>7962964</v>
      </c>
      <c r="F82" s="203">
        <f t="shared" ref="F82:F124" si="9">E81*$C$2*30/360</f>
        <v>60228.401358333336</v>
      </c>
      <c r="G82" s="203"/>
      <c r="H82" s="203">
        <f>SUM(D71:D82)</f>
        <v>2222222</v>
      </c>
      <c r="I82" s="203">
        <f>SUM(F71:F82)</f>
        <v>802132.80830833327</v>
      </c>
    </row>
    <row r="83" spans="1:9">
      <c r="A83">
        <f t="shared" ref="A83:A124" si="10">A82+1</f>
        <v>79</v>
      </c>
      <c r="B83" s="200"/>
      <c r="C83" s="200"/>
      <c r="D83" s="200">
        <v>185185</v>
      </c>
      <c r="E83" s="202">
        <f t="shared" si="8"/>
        <v>7777779</v>
      </c>
      <c r="F83" s="200">
        <f t="shared" si="9"/>
        <v>58859.575566666666</v>
      </c>
      <c r="G83" s="200"/>
      <c r="H83" s="200"/>
      <c r="I83" s="200"/>
    </row>
    <row r="84" spans="1:9">
      <c r="A84">
        <f t="shared" si="10"/>
        <v>80</v>
      </c>
      <c r="B84" s="200"/>
      <c r="C84" s="200"/>
      <c r="D84" s="200">
        <v>277778</v>
      </c>
      <c r="E84" s="202">
        <f t="shared" si="8"/>
        <v>7500001</v>
      </c>
      <c r="F84" s="200">
        <f t="shared" si="9"/>
        <v>57490.749774999997</v>
      </c>
      <c r="G84" s="200"/>
      <c r="H84" s="200"/>
      <c r="I84" s="200"/>
    </row>
    <row r="85" spans="1:9">
      <c r="A85">
        <f t="shared" si="10"/>
        <v>81</v>
      </c>
      <c r="B85" s="200"/>
      <c r="C85" s="200"/>
      <c r="D85" s="200">
        <v>277778</v>
      </c>
      <c r="E85" s="202">
        <f t="shared" si="8"/>
        <v>7222223</v>
      </c>
      <c r="F85" s="200">
        <f t="shared" si="9"/>
        <v>55437.507391666659</v>
      </c>
      <c r="G85" s="200"/>
      <c r="H85" s="200"/>
      <c r="I85" s="200"/>
    </row>
    <row r="86" spans="1:9">
      <c r="A86">
        <f t="shared" si="10"/>
        <v>82</v>
      </c>
      <c r="B86" s="200"/>
      <c r="C86" s="200"/>
      <c r="D86" s="200">
        <v>185185</v>
      </c>
      <c r="E86" s="202">
        <f t="shared" si="8"/>
        <v>7037038</v>
      </c>
      <c r="F86" s="200">
        <f t="shared" si="9"/>
        <v>53384.265008333336</v>
      </c>
      <c r="G86" s="200"/>
      <c r="H86" s="200"/>
      <c r="I86" s="200"/>
    </row>
    <row r="87" spans="1:9">
      <c r="A87">
        <f t="shared" si="10"/>
        <v>83</v>
      </c>
      <c r="B87" s="200"/>
      <c r="C87" s="200"/>
      <c r="D87" s="200">
        <v>185185</v>
      </c>
      <c r="E87" s="202">
        <f t="shared" si="8"/>
        <v>6851853</v>
      </c>
      <c r="F87" s="200">
        <f t="shared" si="9"/>
        <v>52015.439216666666</v>
      </c>
      <c r="G87" s="200"/>
      <c r="H87" s="200"/>
      <c r="I87" s="200"/>
    </row>
    <row r="88" spans="1:9">
      <c r="A88">
        <f t="shared" si="10"/>
        <v>84</v>
      </c>
      <c r="B88" s="200"/>
      <c r="C88" s="200"/>
      <c r="D88" s="200">
        <v>185185</v>
      </c>
      <c r="E88" s="202">
        <f t="shared" si="8"/>
        <v>6666668</v>
      </c>
      <c r="F88" s="200">
        <f t="shared" si="9"/>
        <v>50646.613425000003</v>
      </c>
      <c r="G88" s="200"/>
      <c r="H88" s="200"/>
      <c r="I88" s="200"/>
    </row>
    <row r="89" spans="1:9">
      <c r="A89">
        <f t="shared" si="10"/>
        <v>85</v>
      </c>
      <c r="B89" s="200"/>
      <c r="C89" s="200"/>
      <c r="D89" s="200">
        <v>185185</v>
      </c>
      <c r="E89" s="202">
        <f t="shared" si="8"/>
        <v>6481483</v>
      </c>
      <c r="F89" s="200">
        <f t="shared" si="9"/>
        <v>49277.787633333333</v>
      </c>
      <c r="G89" s="200"/>
      <c r="H89" s="200"/>
      <c r="I89" s="200"/>
    </row>
    <row r="90" spans="1:9">
      <c r="A90">
        <f t="shared" si="10"/>
        <v>86</v>
      </c>
      <c r="B90" s="200"/>
      <c r="C90" s="200"/>
      <c r="D90" s="200">
        <v>185185</v>
      </c>
      <c r="E90" s="202">
        <f t="shared" si="8"/>
        <v>6296298</v>
      </c>
      <c r="F90" s="200">
        <f t="shared" si="9"/>
        <v>47908.961841666671</v>
      </c>
      <c r="G90" s="200"/>
      <c r="H90" s="200"/>
      <c r="I90" s="200"/>
    </row>
    <row r="91" spans="1:9">
      <c r="A91">
        <f t="shared" si="10"/>
        <v>87</v>
      </c>
      <c r="B91" s="200"/>
      <c r="C91" s="200"/>
      <c r="D91" s="200">
        <v>185185</v>
      </c>
      <c r="E91" s="202">
        <f t="shared" si="8"/>
        <v>6111113</v>
      </c>
      <c r="F91" s="200">
        <f t="shared" si="9"/>
        <v>46540.136050000001</v>
      </c>
      <c r="G91" s="200"/>
      <c r="H91" s="200"/>
      <c r="I91" s="200"/>
    </row>
    <row r="92" spans="1:9">
      <c r="A92">
        <f t="shared" si="10"/>
        <v>88</v>
      </c>
      <c r="B92" s="200"/>
      <c r="C92" s="200"/>
      <c r="D92" s="200">
        <v>92593</v>
      </c>
      <c r="E92" s="202">
        <f t="shared" si="8"/>
        <v>6018520</v>
      </c>
      <c r="F92" s="200">
        <f t="shared" si="9"/>
        <v>45171.310258333338</v>
      </c>
      <c r="G92" s="200"/>
      <c r="H92" s="200"/>
      <c r="I92" s="200"/>
    </row>
    <row r="93" spans="1:9">
      <c r="A93">
        <f t="shared" si="10"/>
        <v>89</v>
      </c>
      <c r="B93" s="200"/>
      <c r="C93" s="200"/>
      <c r="D93" s="200">
        <v>92593</v>
      </c>
      <c r="E93" s="202">
        <f t="shared" si="8"/>
        <v>5925927</v>
      </c>
      <c r="F93" s="200">
        <f t="shared" si="9"/>
        <v>44486.89366666667</v>
      </c>
      <c r="G93" s="200"/>
      <c r="H93" s="200"/>
      <c r="I93" s="200"/>
    </row>
    <row r="94" spans="1:9" s="173" customFormat="1">
      <c r="A94" s="173">
        <f t="shared" si="10"/>
        <v>90</v>
      </c>
      <c r="B94" s="203"/>
      <c r="C94" s="203"/>
      <c r="D94" s="203">
        <v>185185</v>
      </c>
      <c r="E94" s="203">
        <f t="shared" si="8"/>
        <v>5740742</v>
      </c>
      <c r="F94" s="203">
        <f t="shared" si="9"/>
        <v>43802.477075000003</v>
      </c>
      <c r="G94" s="203"/>
      <c r="H94" s="203">
        <f>SUM(D83:D94)</f>
        <v>2222222</v>
      </c>
      <c r="I94" s="203">
        <f>SUM(F83:F94)</f>
        <v>605021.71690833336</v>
      </c>
    </row>
    <row r="95" spans="1:9">
      <c r="A95">
        <f t="shared" si="10"/>
        <v>91</v>
      </c>
      <c r="B95" s="200"/>
      <c r="C95" s="200"/>
      <c r="D95" s="200">
        <v>185185</v>
      </c>
      <c r="E95" s="202">
        <f t="shared" si="8"/>
        <v>5555557</v>
      </c>
      <c r="F95" s="200">
        <f t="shared" si="9"/>
        <v>42433.65128333334</v>
      </c>
      <c r="G95" s="200"/>
      <c r="H95" s="200"/>
      <c r="I95" s="200"/>
    </row>
    <row r="96" spans="1:9">
      <c r="A96">
        <f t="shared" si="10"/>
        <v>92</v>
      </c>
      <c r="B96" s="200"/>
      <c r="C96" s="200"/>
      <c r="D96" s="200">
        <v>277778</v>
      </c>
      <c r="E96" s="202">
        <f t="shared" si="8"/>
        <v>5277779</v>
      </c>
      <c r="F96" s="200">
        <f t="shared" si="9"/>
        <v>41064.82549166667</v>
      </c>
      <c r="G96" s="200"/>
      <c r="H96" s="200"/>
      <c r="I96" s="200"/>
    </row>
    <row r="97" spans="1:9">
      <c r="A97">
        <f t="shared" si="10"/>
        <v>93</v>
      </c>
      <c r="B97" s="200"/>
      <c r="C97" s="200"/>
      <c r="D97" s="200">
        <v>277778</v>
      </c>
      <c r="E97" s="202">
        <f t="shared" si="8"/>
        <v>5000001</v>
      </c>
      <c r="F97" s="200">
        <f t="shared" si="9"/>
        <v>39011.583108333332</v>
      </c>
      <c r="G97" s="200"/>
      <c r="H97" s="200"/>
      <c r="I97" s="200"/>
    </row>
    <row r="98" spans="1:9">
      <c r="A98">
        <f t="shared" si="10"/>
        <v>94</v>
      </c>
      <c r="B98" s="200"/>
      <c r="C98" s="200"/>
      <c r="D98" s="200">
        <v>185185</v>
      </c>
      <c r="E98" s="202">
        <f t="shared" si="8"/>
        <v>4814816</v>
      </c>
      <c r="F98" s="200">
        <f t="shared" si="9"/>
        <v>36958.340725000002</v>
      </c>
      <c r="G98" s="200"/>
      <c r="H98" s="200"/>
      <c r="I98" s="200"/>
    </row>
    <row r="99" spans="1:9">
      <c r="A99">
        <f t="shared" si="10"/>
        <v>95</v>
      </c>
      <c r="B99" s="200"/>
      <c r="C99" s="200"/>
      <c r="D99" s="200">
        <v>185185</v>
      </c>
      <c r="E99" s="202">
        <f t="shared" si="8"/>
        <v>4629631</v>
      </c>
      <c r="F99" s="200">
        <f t="shared" si="9"/>
        <v>35589.514933333332</v>
      </c>
      <c r="G99" s="200"/>
      <c r="H99" s="200"/>
      <c r="I99" s="200"/>
    </row>
    <row r="100" spans="1:9">
      <c r="A100">
        <f t="shared" si="10"/>
        <v>96</v>
      </c>
      <c r="B100" s="200"/>
      <c r="C100" s="200"/>
      <c r="D100" s="200">
        <v>185185</v>
      </c>
      <c r="E100" s="202">
        <f t="shared" si="8"/>
        <v>4444446</v>
      </c>
      <c r="F100" s="200">
        <f t="shared" si="9"/>
        <v>34220.689141666669</v>
      </c>
      <c r="G100" s="200"/>
      <c r="H100" s="200"/>
      <c r="I100" s="200"/>
    </row>
    <row r="101" spans="1:9">
      <c r="A101">
        <f t="shared" si="10"/>
        <v>97</v>
      </c>
      <c r="B101" s="200"/>
      <c r="C101" s="200"/>
      <c r="D101" s="200">
        <v>185185</v>
      </c>
      <c r="E101" s="202">
        <f t="shared" si="8"/>
        <v>4259261</v>
      </c>
      <c r="F101" s="200">
        <f t="shared" si="9"/>
        <v>32851.86335</v>
      </c>
      <c r="G101" s="200"/>
      <c r="H101" s="200"/>
      <c r="I101" s="200"/>
    </row>
    <row r="102" spans="1:9">
      <c r="A102">
        <f t="shared" si="10"/>
        <v>98</v>
      </c>
      <c r="B102" s="200"/>
      <c r="C102" s="200"/>
      <c r="D102" s="200">
        <v>185185</v>
      </c>
      <c r="E102" s="202">
        <f t="shared" si="8"/>
        <v>4074076</v>
      </c>
      <c r="F102" s="200">
        <f t="shared" si="9"/>
        <v>31483.037558333333</v>
      </c>
      <c r="G102" s="200"/>
      <c r="H102" s="200"/>
      <c r="I102" s="200"/>
    </row>
    <row r="103" spans="1:9">
      <c r="A103">
        <f t="shared" si="10"/>
        <v>99</v>
      </c>
      <c r="B103" s="200"/>
      <c r="C103" s="200"/>
      <c r="D103" s="200">
        <v>185185</v>
      </c>
      <c r="E103" s="202">
        <f t="shared" si="8"/>
        <v>3888891</v>
      </c>
      <c r="F103" s="200">
        <f t="shared" si="9"/>
        <v>30114.211766666667</v>
      </c>
      <c r="G103" s="200"/>
      <c r="H103" s="200"/>
      <c r="I103" s="200"/>
    </row>
    <row r="104" spans="1:9">
      <c r="A104">
        <f t="shared" si="10"/>
        <v>100</v>
      </c>
      <c r="B104" s="200"/>
      <c r="C104" s="200"/>
      <c r="D104" s="200">
        <v>92593</v>
      </c>
      <c r="E104" s="202">
        <f t="shared" si="8"/>
        <v>3796298</v>
      </c>
      <c r="F104" s="200">
        <f t="shared" si="9"/>
        <v>28745.385975000005</v>
      </c>
      <c r="G104" s="200"/>
      <c r="H104" s="200"/>
      <c r="I104" s="200"/>
    </row>
    <row r="105" spans="1:9">
      <c r="A105">
        <f t="shared" si="10"/>
        <v>101</v>
      </c>
      <c r="B105" s="200"/>
      <c r="C105" s="200"/>
      <c r="D105" s="200">
        <v>92593</v>
      </c>
      <c r="E105" s="202">
        <f t="shared" si="8"/>
        <v>3703705</v>
      </c>
      <c r="F105" s="200">
        <f t="shared" si="9"/>
        <v>28060.969383333333</v>
      </c>
      <c r="G105" s="200"/>
      <c r="H105" s="200"/>
      <c r="I105" s="200"/>
    </row>
    <row r="106" spans="1:9" s="173" customFormat="1">
      <c r="A106" s="173">
        <f t="shared" si="10"/>
        <v>102</v>
      </c>
      <c r="B106" s="203"/>
      <c r="C106" s="203"/>
      <c r="D106" s="203">
        <v>185185</v>
      </c>
      <c r="E106" s="203">
        <f t="shared" si="8"/>
        <v>3518520</v>
      </c>
      <c r="F106" s="203">
        <f t="shared" si="9"/>
        <v>27376.552791666665</v>
      </c>
      <c r="G106" s="203"/>
      <c r="H106" s="203">
        <f>SUM(D95:D106)</f>
        <v>2222222</v>
      </c>
      <c r="I106" s="203">
        <f>SUM(F95:F106)</f>
        <v>407910.62550833332</v>
      </c>
    </row>
    <row r="107" spans="1:9">
      <c r="A107">
        <f t="shared" si="10"/>
        <v>103</v>
      </c>
      <c r="B107" s="200"/>
      <c r="C107" s="200"/>
      <c r="D107" s="200">
        <v>185185</v>
      </c>
      <c r="E107" s="202">
        <f t="shared" si="8"/>
        <v>3333335</v>
      </c>
      <c r="F107" s="200">
        <f t="shared" si="9"/>
        <v>26007.726999999995</v>
      </c>
      <c r="G107" s="200"/>
      <c r="H107" s="200"/>
      <c r="I107" s="200"/>
    </row>
    <row r="108" spans="1:9">
      <c r="A108">
        <f t="shared" si="10"/>
        <v>104</v>
      </c>
      <c r="B108" s="200"/>
      <c r="C108" s="200"/>
      <c r="D108" s="200">
        <v>277778</v>
      </c>
      <c r="E108" s="202">
        <f t="shared" si="8"/>
        <v>3055557</v>
      </c>
      <c r="F108" s="200">
        <f t="shared" si="9"/>
        <v>24638.901208333329</v>
      </c>
      <c r="G108" s="200"/>
      <c r="H108" s="200"/>
      <c r="I108" s="200"/>
    </row>
    <row r="109" spans="1:9">
      <c r="A109">
        <f t="shared" si="10"/>
        <v>105</v>
      </c>
      <c r="B109" s="200"/>
      <c r="C109" s="200"/>
      <c r="D109" s="200">
        <v>277778</v>
      </c>
      <c r="E109" s="202">
        <f t="shared" si="8"/>
        <v>2777779</v>
      </c>
      <c r="F109" s="200">
        <f t="shared" si="9"/>
        <v>22585.658824999999</v>
      </c>
      <c r="G109" s="200"/>
      <c r="H109" s="200"/>
      <c r="I109" s="200"/>
    </row>
    <row r="110" spans="1:9">
      <c r="A110">
        <f t="shared" si="10"/>
        <v>106</v>
      </c>
      <c r="B110" s="200"/>
      <c r="C110" s="200"/>
      <c r="D110" s="200">
        <v>185185</v>
      </c>
      <c r="E110" s="202">
        <f t="shared" si="8"/>
        <v>2592594</v>
      </c>
      <c r="F110" s="200">
        <f t="shared" si="9"/>
        <v>20532.416441666668</v>
      </c>
      <c r="G110" s="200"/>
      <c r="H110" s="200"/>
      <c r="I110" s="200"/>
    </row>
    <row r="111" spans="1:9">
      <c r="A111">
        <f t="shared" si="10"/>
        <v>107</v>
      </c>
      <c r="B111" s="200"/>
      <c r="C111" s="200"/>
      <c r="D111" s="200">
        <v>185185</v>
      </c>
      <c r="E111" s="202">
        <f t="shared" si="8"/>
        <v>2407409</v>
      </c>
      <c r="F111" s="200">
        <f t="shared" si="9"/>
        <v>19163.590650000002</v>
      </c>
      <c r="G111" s="200"/>
      <c r="H111" s="200"/>
      <c r="I111" s="200"/>
    </row>
    <row r="112" spans="1:9">
      <c r="A112">
        <f t="shared" si="10"/>
        <v>108</v>
      </c>
      <c r="B112" s="200"/>
      <c r="C112" s="200"/>
      <c r="D112" s="200">
        <v>185185</v>
      </c>
      <c r="E112" s="202">
        <f t="shared" si="8"/>
        <v>2222224</v>
      </c>
      <c r="F112" s="200">
        <f t="shared" si="9"/>
        <v>17794.764858333336</v>
      </c>
      <c r="G112" s="200"/>
      <c r="H112" s="200"/>
      <c r="I112" s="200"/>
    </row>
    <row r="113" spans="1:9">
      <c r="A113">
        <f t="shared" si="10"/>
        <v>109</v>
      </c>
      <c r="B113" s="200"/>
      <c r="C113" s="200"/>
      <c r="D113" s="200">
        <v>185185</v>
      </c>
      <c r="E113" s="202">
        <f t="shared" si="8"/>
        <v>2037039</v>
      </c>
      <c r="F113" s="200">
        <f t="shared" si="9"/>
        <v>16425.939066666666</v>
      </c>
      <c r="G113" s="200"/>
      <c r="H113" s="200"/>
      <c r="I113" s="200"/>
    </row>
    <row r="114" spans="1:9">
      <c r="A114">
        <f t="shared" si="10"/>
        <v>110</v>
      </c>
      <c r="B114" s="200"/>
      <c r="C114" s="200"/>
      <c r="D114" s="200">
        <v>185185</v>
      </c>
      <c r="E114" s="202">
        <f t="shared" si="8"/>
        <v>1851854</v>
      </c>
      <c r="F114" s="200">
        <f t="shared" si="9"/>
        <v>15057.113275</v>
      </c>
      <c r="G114" s="200"/>
      <c r="H114" s="200"/>
      <c r="I114" s="200"/>
    </row>
    <row r="115" spans="1:9">
      <c r="A115">
        <f t="shared" si="10"/>
        <v>111</v>
      </c>
      <c r="B115" s="200"/>
      <c r="C115" s="200"/>
      <c r="D115" s="200">
        <v>185185</v>
      </c>
      <c r="E115" s="202">
        <f t="shared" si="8"/>
        <v>1666669</v>
      </c>
      <c r="F115" s="200">
        <f t="shared" si="9"/>
        <v>13688.287483333334</v>
      </c>
      <c r="G115" s="200"/>
      <c r="H115" s="200"/>
      <c r="I115" s="200"/>
    </row>
    <row r="116" spans="1:9">
      <c r="A116">
        <f t="shared" si="10"/>
        <v>112</v>
      </c>
      <c r="B116" s="200"/>
      <c r="C116" s="200"/>
      <c r="D116" s="200">
        <v>92593</v>
      </c>
      <c r="E116" s="202">
        <f t="shared" si="8"/>
        <v>1574076</v>
      </c>
      <c r="F116" s="200">
        <f t="shared" si="9"/>
        <v>12319.461691666666</v>
      </c>
      <c r="G116" s="200"/>
      <c r="H116" s="200"/>
      <c r="I116" s="200"/>
    </row>
    <row r="117" spans="1:9">
      <c r="A117">
        <f t="shared" si="10"/>
        <v>113</v>
      </c>
      <c r="B117" s="200"/>
      <c r="C117" s="200"/>
      <c r="D117" s="200">
        <v>92593</v>
      </c>
      <c r="E117" s="202">
        <f t="shared" si="8"/>
        <v>1481483</v>
      </c>
      <c r="F117" s="200">
        <f t="shared" si="9"/>
        <v>11635.045099999999</v>
      </c>
      <c r="G117" s="200"/>
      <c r="H117" s="200"/>
      <c r="I117" s="200"/>
    </row>
    <row r="118" spans="1:9" s="173" customFormat="1">
      <c r="A118" s="173">
        <f t="shared" si="10"/>
        <v>114</v>
      </c>
      <c r="B118" s="203"/>
      <c r="C118" s="203"/>
      <c r="D118" s="203">
        <v>185185</v>
      </c>
      <c r="E118" s="203">
        <f t="shared" si="8"/>
        <v>1296298</v>
      </c>
      <c r="F118" s="203">
        <f t="shared" si="9"/>
        <v>10950.628508333333</v>
      </c>
      <c r="G118" s="203"/>
      <c r="H118" s="203">
        <f>SUM(D107:D118)</f>
        <v>2222222</v>
      </c>
      <c r="I118" s="203">
        <f>SUM(F107:F118)</f>
        <v>210799.53410833329</v>
      </c>
    </row>
    <row r="119" spans="1:9">
      <c r="A119">
        <f t="shared" si="10"/>
        <v>115</v>
      </c>
      <c r="B119" s="200"/>
      <c r="C119" s="200"/>
      <c r="D119" s="200">
        <v>185185</v>
      </c>
      <c r="E119" s="202">
        <f t="shared" si="8"/>
        <v>1111113</v>
      </c>
      <c r="F119" s="200">
        <f t="shared" si="9"/>
        <v>9581.802716666667</v>
      </c>
      <c r="G119" s="200"/>
      <c r="H119" s="200"/>
      <c r="I119" s="200"/>
    </row>
    <row r="120" spans="1:9">
      <c r="A120">
        <f t="shared" si="10"/>
        <v>116</v>
      </c>
      <c r="B120" s="200"/>
      <c r="C120" s="200"/>
      <c r="D120" s="200">
        <v>277778</v>
      </c>
      <c r="E120" s="202">
        <f t="shared" si="8"/>
        <v>833335</v>
      </c>
      <c r="F120" s="200">
        <f t="shared" si="9"/>
        <v>8212.976924999999</v>
      </c>
      <c r="G120" s="200"/>
      <c r="H120" s="200"/>
      <c r="I120" s="200"/>
    </row>
    <row r="121" spans="1:9">
      <c r="A121">
        <f t="shared" si="10"/>
        <v>117</v>
      </c>
      <c r="B121" s="200"/>
      <c r="C121" s="200"/>
      <c r="D121" s="200">
        <v>277778</v>
      </c>
      <c r="E121" s="202">
        <f t="shared" si="8"/>
        <v>555557</v>
      </c>
      <c r="F121" s="200">
        <f t="shared" si="9"/>
        <v>6159.7345416666667</v>
      </c>
      <c r="G121" s="200"/>
      <c r="H121" s="200"/>
      <c r="I121" s="200"/>
    </row>
    <row r="122" spans="1:9">
      <c r="A122">
        <f t="shared" si="10"/>
        <v>118</v>
      </c>
      <c r="B122" s="200"/>
      <c r="C122" s="200"/>
      <c r="D122" s="200">
        <v>185185</v>
      </c>
      <c r="E122" s="202">
        <f t="shared" si="8"/>
        <v>370372</v>
      </c>
      <c r="F122" s="200">
        <f t="shared" si="9"/>
        <v>4106.4921583333335</v>
      </c>
      <c r="G122" s="200"/>
      <c r="H122" s="200"/>
      <c r="I122" s="200"/>
    </row>
    <row r="123" spans="1:9">
      <c r="A123">
        <f t="shared" si="10"/>
        <v>119</v>
      </c>
      <c r="B123" s="200"/>
      <c r="C123" s="200"/>
      <c r="D123" s="200">
        <v>185185</v>
      </c>
      <c r="E123" s="202">
        <f t="shared" si="8"/>
        <v>185187</v>
      </c>
      <c r="F123" s="200">
        <f t="shared" si="9"/>
        <v>2737.6663666666668</v>
      </c>
      <c r="G123" s="200"/>
      <c r="H123" s="200"/>
      <c r="I123" s="200"/>
    </row>
    <row r="124" spans="1:9">
      <c r="A124">
        <f t="shared" si="10"/>
        <v>120</v>
      </c>
      <c r="B124" s="200"/>
      <c r="C124" s="200"/>
      <c r="D124" s="200">
        <v>185187</v>
      </c>
      <c r="E124" s="202">
        <f t="shared" si="8"/>
        <v>0</v>
      </c>
      <c r="F124" s="200">
        <f t="shared" si="9"/>
        <v>1368.8405749999999</v>
      </c>
      <c r="G124" s="200"/>
      <c r="H124" s="200">
        <f>SUM(D119:D124)</f>
        <v>1296298</v>
      </c>
      <c r="I124" s="200">
        <f>SUM(F119:F124)</f>
        <v>32167.513283333334</v>
      </c>
    </row>
    <row r="125" spans="1:9">
      <c r="D125" s="200"/>
      <c r="H125" s="200"/>
      <c r="I125" s="200"/>
    </row>
    <row r="126" spans="1:9">
      <c r="C126" s="200">
        <f>SUM(C5:C15)</f>
        <v>20000000</v>
      </c>
      <c r="D126" s="200">
        <f>SUM(D17:D125)</f>
        <v>20000000</v>
      </c>
      <c r="E126" s="202"/>
      <c r="F126" s="200">
        <f>SUM(F5:F125)</f>
        <v>8984620.8527416643</v>
      </c>
      <c r="H126" s="200">
        <f>SUM(H124,H118,H106,H94,H82,H70,H58,H46,H34,H22,H10)</f>
        <v>20000000</v>
      </c>
      <c r="I126" s="200">
        <f>SUM(I124,I118,I106,I94,I82,I70,I58,I46,I34,I22,I10)</f>
        <v>8984620.852741668</v>
      </c>
    </row>
    <row r="127" spans="1:9">
      <c r="D127" s="20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</vt:i4>
      </vt:variant>
    </vt:vector>
  </HeadingPairs>
  <TitlesOfParts>
    <vt:vector size="20" baseType="lpstr">
      <vt:lpstr>situatie credite</vt:lpstr>
      <vt:lpstr>1.BCR ref 2.2 mil. ron</vt:lpstr>
      <vt:lpstr>2.brd 3 mio euro</vt:lpstr>
      <vt:lpstr>3.samtid 553.967,97 EURO</vt:lpstr>
      <vt:lpstr>4.garantie bancpost</vt:lpstr>
      <vt:lpstr>5.credit refinan cec 10.5mil</vt:lpstr>
      <vt:lpstr>6.bcr 11 mil</vt:lpstr>
      <vt:lpstr>7.CREDIT UNICREDIT</vt:lpstr>
      <vt:lpstr>8.garantie BT 20 MIO RON</vt:lpstr>
      <vt:lpstr>9. GARANTIE RAIFF</vt:lpstr>
      <vt:lpstr>10. CREDIT NOU</vt:lpstr>
      <vt:lpstr>centralizator</vt:lpstr>
      <vt:lpstr>grad indatorare</vt:lpstr>
      <vt:lpstr>1.3</vt:lpstr>
      <vt:lpstr>1.4</vt:lpstr>
      <vt:lpstr>Sheet2</vt:lpstr>
      <vt:lpstr>SD sinaia</vt:lpstr>
      <vt:lpstr>'1.3'!Print_Area</vt:lpstr>
      <vt:lpstr>'1.4'!Print_Area</vt:lpstr>
      <vt:lpstr>'grad indatorare'!Print_Area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Radu</cp:lastModifiedBy>
  <cp:lastPrinted>2022-11-23T07:44:01Z</cp:lastPrinted>
  <dcterms:created xsi:type="dcterms:W3CDTF">2011-08-02T19:26:15Z</dcterms:created>
  <dcterms:modified xsi:type="dcterms:W3CDTF">2024-05-17T12:28:24Z</dcterms:modified>
</cp:coreProperties>
</file>